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E:\Site avtsportif\competitions\Resultats 2021 2022\"/>
    </mc:Choice>
  </mc:AlternateContent>
  <xr:revisionPtr revIDLastSave="0" documentId="8_{4DD3A3CA-561B-46E8-AE8C-9072475E8EB7}" xr6:coauthVersionLast="47" xr6:coauthVersionMax="47" xr10:uidLastSave="{00000000-0000-0000-0000-000000000000}"/>
  <bookViews>
    <workbookView xWindow="-120" yWindow="-120" windowWidth="29040" windowHeight="15840" tabRatio="903" activeTab="5" xr2:uid="{00000000-000D-0000-FFFF-FFFF00000000}"/>
  </bookViews>
  <sheets>
    <sheet name="INFO" sheetId="33" r:id="rId1"/>
    <sheet name="saisie" sheetId="39" r:id="rId2"/>
    <sheet name="M Q" sheetId="21" r:id="rId3"/>
    <sheet name="Clb Q" sheetId="22" r:id="rId4"/>
    <sheet name="P.F." sheetId="38" r:id="rId5"/>
    <sheet name="PALMARES" sheetId="37" r:id="rId6"/>
  </sheets>
  <definedNames>
    <definedName name="_xlnm.Print_Area" localSheetId="3">'Clb Q'!$B$1:$T$26</definedName>
    <definedName name="_xlnm.Print_Area" localSheetId="0">INFO!$A$1:$C$19</definedName>
    <definedName name="_xlnm.Print_Area" localSheetId="2">'M Q'!$A$1:$T$44</definedName>
    <definedName name="_xlnm.Print_Area" localSheetId="4">'P.F.'!$A$1:$T$104</definedName>
    <definedName name="_xlnm.Print_Area" localSheetId="5">PALMARES!$A$1:$H$46</definedName>
    <definedName name="_xlnm.Print_Area" localSheetId="1">saisie!$A$1:$U$44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6" i="39" l="1"/>
  <c r="M6" i="39"/>
  <c r="H6" i="39"/>
  <c r="R7" i="39"/>
  <c r="M7" i="39"/>
  <c r="H7" i="39"/>
  <c r="R8" i="39"/>
  <c r="M8" i="39"/>
  <c r="H8" i="39"/>
  <c r="R9" i="39"/>
  <c r="M9" i="39"/>
  <c r="H9" i="39"/>
  <c r="R10" i="39"/>
  <c r="M10" i="39"/>
  <c r="H10" i="39"/>
  <c r="R11" i="39"/>
  <c r="M11" i="39"/>
  <c r="H11" i="39"/>
  <c r="R12" i="39"/>
  <c r="T12" i="39" s="1"/>
  <c r="M12" i="39"/>
  <c r="H12" i="39"/>
  <c r="R13" i="39"/>
  <c r="M13" i="39"/>
  <c r="H13" i="39"/>
  <c r="R14" i="39"/>
  <c r="M14" i="39"/>
  <c r="T14" i="39" s="1"/>
  <c r="H14" i="39"/>
  <c r="W14" i="39" s="1"/>
  <c r="R15" i="39"/>
  <c r="M15" i="39"/>
  <c r="T15" i="39" s="1"/>
  <c r="H15" i="39"/>
  <c r="R16" i="39"/>
  <c r="M16" i="39"/>
  <c r="H16" i="39"/>
  <c r="W16" i="39" s="1"/>
  <c r="R17" i="39"/>
  <c r="M17" i="39"/>
  <c r="H17" i="39"/>
  <c r="W17" i="39" s="1"/>
  <c r="R18" i="39"/>
  <c r="M18" i="39"/>
  <c r="H18" i="39"/>
  <c r="W18" i="39"/>
  <c r="R19" i="39"/>
  <c r="M19" i="39"/>
  <c r="T19" i="39" s="1"/>
  <c r="H19" i="39"/>
  <c r="W19" i="39" s="1"/>
  <c r="R20" i="39"/>
  <c r="T20" i="39" s="1"/>
  <c r="M20" i="39"/>
  <c r="H20" i="39"/>
  <c r="R21" i="39"/>
  <c r="M21" i="39"/>
  <c r="H21" i="39"/>
  <c r="R22" i="39"/>
  <c r="M22" i="39"/>
  <c r="W22" i="39" s="1"/>
  <c r="H22" i="39"/>
  <c r="R23" i="39"/>
  <c r="M23" i="39"/>
  <c r="T23" i="39" s="1"/>
  <c r="H23" i="39"/>
  <c r="R24" i="39"/>
  <c r="M24" i="39"/>
  <c r="H24" i="39"/>
  <c r="W24" i="39" s="1"/>
  <c r="R25" i="39"/>
  <c r="M25" i="39"/>
  <c r="H25" i="39"/>
  <c r="W25" i="39" s="1"/>
  <c r="R26" i="39"/>
  <c r="M26" i="39"/>
  <c r="H26" i="39"/>
  <c r="W26" i="39"/>
  <c r="R27" i="39"/>
  <c r="M27" i="39"/>
  <c r="H27" i="39"/>
  <c r="W27" i="39" s="1"/>
  <c r="R28" i="39"/>
  <c r="T28" i="39" s="1"/>
  <c r="M28" i="39"/>
  <c r="H28" i="39"/>
  <c r="R29" i="39"/>
  <c r="M29" i="39"/>
  <c r="H29" i="39"/>
  <c r="R30" i="39"/>
  <c r="M30" i="39"/>
  <c r="W30" i="39" s="1"/>
  <c r="H30" i="39"/>
  <c r="R31" i="39"/>
  <c r="M31" i="39"/>
  <c r="T31" i="39" s="1"/>
  <c r="H31" i="39"/>
  <c r="R32" i="39"/>
  <c r="M32" i="39"/>
  <c r="H32" i="39"/>
  <c r="W32" i="39" s="1"/>
  <c r="R33" i="39"/>
  <c r="M33" i="39"/>
  <c r="H33" i="39"/>
  <c r="W33" i="39" s="1"/>
  <c r="R34" i="39"/>
  <c r="M34" i="39"/>
  <c r="H34" i="39"/>
  <c r="W34" i="39"/>
  <c r="R35" i="39"/>
  <c r="M35" i="39"/>
  <c r="H35" i="39"/>
  <c r="W35" i="39" s="1"/>
  <c r="R36" i="39"/>
  <c r="T36" i="39" s="1"/>
  <c r="M36" i="39"/>
  <c r="H36" i="39"/>
  <c r="R37" i="39"/>
  <c r="M37" i="39"/>
  <c r="H37" i="39"/>
  <c r="R38" i="39"/>
  <c r="M38" i="39"/>
  <c r="W38" i="39" s="1"/>
  <c r="H38" i="39"/>
  <c r="R39" i="39"/>
  <c r="M39" i="39"/>
  <c r="T39" i="39" s="1"/>
  <c r="H39" i="39"/>
  <c r="R40" i="39"/>
  <c r="M40" i="39"/>
  <c r="H40" i="39"/>
  <c r="W40" i="39" s="1"/>
  <c r="R41" i="39"/>
  <c r="M41" i="39"/>
  <c r="H41" i="39"/>
  <c r="W41" i="39" s="1"/>
  <c r="R42" i="39"/>
  <c r="M42" i="39"/>
  <c r="H42" i="39"/>
  <c r="W42" i="39"/>
  <c r="R43" i="39"/>
  <c r="M43" i="39"/>
  <c r="H43" i="39"/>
  <c r="W43" i="39" s="1"/>
  <c r="R44" i="39"/>
  <c r="T44" i="39" s="1"/>
  <c r="M44" i="39"/>
  <c r="H44" i="39"/>
  <c r="R5" i="39"/>
  <c r="M5" i="39"/>
  <c r="H5" i="39"/>
  <c r="A1" i="39"/>
  <c r="A9" i="37"/>
  <c r="A16" i="21"/>
  <c r="K8" i="38"/>
  <c r="K9" i="38"/>
  <c r="K10" i="38"/>
  <c r="K11" i="38"/>
  <c r="K12" i="38"/>
  <c r="L8" i="38"/>
  <c r="A9" i="21"/>
  <c r="A17" i="21"/>
  <c r="K18" i="38"/>
  <c r="K19" i="38"/>
  <c r="K20" i="38"/>
  <c r="K21" i="38"/>
  <c r="K22" i="38"/>
  <c r="L18" i="38"/>
  <c r="A60" i="38"/>
  <c r="A61" i="38"/>
  <c r="A62" i="38"/>
  <c r="B60" i="38" s="1"/>
  <c r="A63" i="38"/>
  <c r="A64" i="38"/>
  <c r="J60" i="38"/>
  <c r="J61" i="38"/>
  <c r="J62" i="38"/>
  <c r="J63" i="38"/>
  <c r="J64" i="38"/>
  <c r="A71" i="38"/>
  <c r="A72" i="38"/>
  <c r="A73" i="38"/>
  <c r="A74" i="38"/>
  <c r="A75" i="38"/>
  <c r="A76" i="38"/>
  <c r="A77" i="38"/>
  <c r="J71" i="38"/>
  <c r="J72" i="38"/>
  <c r="J73" i="38"/>
  <c r="J74" i="38"/>
  <c r="J75" i="38"/>
  <c r="J76" i="38"/>
  <c r="J77" i="38"/>
  <c r="F84" i="38"/>
  <c r="F85" i="38"/>
  <c r="F86" i="38"/>
  <c r="F87" i="38"/>
  <c r="F88" i="38"/>
  <c r="F89" i="38"/>
  <c r="F90" i="38"/>
  <c r="U5" i="39"/>
  <c r="U6" i="39"/>
  <c r="U7" i="39"/>
  <c r="U8" i="39"/>
  <c r="U9" i="39"/>
  <c r="U10" i="39"/>
  <c r="U11" i="39"/>
  <c r="U12" i="39"/>
  <c r="U13" i="39"/>
  <c r="U14" i="39"/>
  <c r="U15" i="39"/>
  <c r="T16" i="39"/>
  <c r="U16" i="39"/>
  <c r="U17" i="39"/>
  <c r="T18" i="39"/>
  <c r="U18" i="39"/>
  <c r="U19" i="39"/>
  <c r="U20" i="39"/>
  <c r="U21" i="39"/>
  <c r="U22" i="39"/>
  <c r="U23" i="39"/>
  <c r="T24" i="39"/>
  <c r="U24" i="39"/>
  <c r="U25" i="39"/>
  <c r="T26" i="39"/>
  <c r="U26" i="39"/>
  <c r="U27" i="39"/>
  <c r="U28" i="39"/>
  <c r="U29" i="39"/>
  <c r="U30" i="39"/>
  <c r="U31" i="39"/>
  <c r="T32" i="39"/>
  <c r="U32" i="39"/>
  <c r="U33" i="39"/>
  <c r="T34" i="39"/>
  <c r="U34" i="39"/>
  <c r="U35" i="39"/>
  <c r="U36" i="39"/>
  <c r="U37" i="39"/>
  <c r="U38" i="39"/>
  <c r="U39" i="39"/>
  <c r="T40" i="39"/>
  <c r="U40" i="39"/>
  <c r="U41" i="39"/>
  <c r="T42" i="39"/>
  <c r="U42" i="39"/>
  <c r="U43" i="39"/>
  <c r="U44" i="39"/>
  <c r="L16" i="37"/>
  <c r="J16" i="37" s="1"/>
  <c r="J18" i="38"/>
  <c r="J19" i="38"/>
  <c r="J20" i="38"/>
  <c r="J21" i="38"/>
  <c r="J22" i="38"/>
  <c r="H18" i="38"/>
  <c r="A19" i="38"/>
  <c r="A20" i="38"/>
  <c r="A18" i="38"/>
  <c r="A21" i="38"/>
  <c r="A22" i="38"/>
  <c r="B18" i="38"/>
  <c r="A12" i="21"/>
  <c r="A13" i="21"/>
  <c r="L17" i="37"/>
  <c r="K17" i="37" s="1"/>
  <c r="T18" i="38"/>
  <c r="T19" i="38"/>
  <c r="T20" i="38"/>
  <c r="T21" i="38"/>
  <c r="T22" i="38"/>
  <c r="R18" i="38"/>
  <c r="A8" i="21"/>
  <c r="L18" i="37"/>
  <c r="J18" i="37" s="1"/>
  <c r="A29" i="38"/>
  <c r="A30" i="38"/>
  <c r="A31" i="38"/>
  <c r="A32" i="38"/>
  <c r="A33" i="38"/>
  <c r="B29" i="38"/>
  <c r="J29" i="38"/>
  <c r="J30" i="38"/>
  <c r="J31" i="38"/>
  <c r="J32" i="38"/>
  <c r="J33" i="38"/>
  <c r="H29" i="38"/>
  <c r="A7" i="21"/>
  <c r="A18" i="21"/>
  <c r="L19" i="37"/>
  <c r="J19" i="37" s="1"/>
  <c r="K29" i="38"/>
  <c r="K30" i="38"/>
  <c r="K31" i="38"/>
  <c r="K32" i="38"/>
  <c r="K33" i="38"/>
  <c r="L29" i="38"/>
  <c r="A14" i="21"/>
  <c r="L20" i="37"/>
  <c r="J20" i="37" s="1"/>
  <c r="J40" i="38"/>
  <c r="J41" i="38"/>
  <c r="J42" i="38"/>
  <c r="J43" i="38"/>
  <c r="J44" i="38"/>
  <c r="H40" i="38"/>
  <c r="A41" i="38"/>
  <c r="A42" i="38"/>
  <c r="A40" i="38"/>
  <c r="A43" i="38"/>
  <c r="A44" i="38"/>
  <c r="B40" i="38"/>
  <c r="A15" i="21"/>
  <c r="L21" i="37"/>
  <c r="J21" i="37" s="1"/>
  <c r="T40" i="38"/>
  <c r="T41" i="38"/>
  <c r="T42" i="38"/>
  <c r="T43" i="38"/>
  <c r="T44" i="38"/>
  <c r="R40" i="38"/>
  <c r="A6" i="21"/>
  <c r="A19" i="21"/>
  <c r="K42" i="38"/>
  <c r="K41" i="38"/>
  <c r="L40" i="38"/>
  <c r="L22" i="37"/>
  <c r="J22" i="37" s="1"/>
  <c r="A8" i="38"/>
  <c r="A9" i="38"/>
  <c r="A10" i="38"/>
  <c r="A11" i="38"/>
  <c r="A12" i="38"/>
  <c r="B8" i="38"/>
  <c r="A20" i="21"/>
  <c r="L15" i="37"/>
  <c r="M15" i="37" s="1"/>
  <c r="T60" i="38"/>
  <c r="T61" i="38"/>
  <c r="T62" i="38"/>
  <c r="T63" i="38"/>
  <c r="T64" i="38"/>
  <c r="K61" i="38"/>
  <c r="K62" i="38"/>
  <c r="K60" i="38"/>
  <c r="L60" i="38" s="1"/>
  <c r="K63" i="38"/>
  <c r="K64" i="38"/>
  <c r="K40" i="38"/>
  <c r="K43" i="38"/>
  <c r="K44" i="38"/>
  <c r="A11" i="21"/>
  <c r="A10" i="21"/>
  <c r="K50" i="38"/>
  <c r="K51" i="38"/>
  <c r="K52" i="38"/>
  <c r="K53" i="38"/>
  <c r="K54" i="38"/>
  <c r="A50" i="38"/>
  <c r="A51" i="38"/>
  <c r="A52" i="38"/>
  <c r="A53" i="38"/>
  <c r="A54" i="38"/>
  <c r="B50" i="38"/>
  <c r="L11" i="37"/>
  <c r="K11" i="37" s="1"/>
  <c r="A11" i="37"/>
  <c r="T50" i="38"/>
  <c r="T51" i="38"/>
  <c r="T52" i="38"/>
  <c r="T53" i="38"/>
  <c r="T54" i="38"/>
  <c r="T8" i="38"/>
  <c r="T9" i="38"/>
  <c r="T10" i="38"/>
  <c r="T11" i="38"/>
  <c r="T12" i="38"/>
  <c r="R8" i="38"/>
  <c r="J8" i="38"/>
  <c r="J9" i="38"/>
  <c r="J10" i="38"/>
  <c r="J11" i="38"/>
  <c r="J12" i="38"/>
  <c r="H8" i="38"/>
  <c r="A12" i="37"/>
  <c r="A13" i="37"/>
  <c r="A14" i="37"/>
  <c r="B14" i="37" s="1"/>
  <c r="A15" i="37"/>
  <c r="A16" i="37"/>
  <c r="A17" i="37"/>
  <c r="A18" i="37"/>
  <c r="A19" i="37"/>
  <c r="A20" i="37"/>
  <c r="A21" i="37"/>
  <c r="E21" i="37" s="1"/>
  <c r="A22" i="37"/>
  <c r="A24" i="37"/>
  <c r="A22" i="21"/>
  <c r="A25" i="37"/>
  <c r="A23" i="21"/>
  <c r="A26" i="37"/>
  <c r="A24" i="21"/>
  <c r="A27" i="37"/>
  <c r="E27" i="37" s="1"/>
  <c r="A25" i="21"/>
  <c r="A28" i="37"/>
  <c r="F28" i="37" s="1"/>
  <c r="A26" i="21"/>
  <c r="A29" i="37"/>
  <c r="F29" i="37" s="1"/>
  <c r="A27" i="21"/>
  <c r="A30" i="37"/>
  <c r="D30" i="37" s="1"/>
  <c r="A28" i="21"/>
  <c r="A31" i="37"/>
  <c r="F31" i="37" s="1"/>
  <c r="A29" i="21"/>
  <c r="A32" i="37"/>
  <c r="D32" i="37" s="1"/>
  <c r="A30" i="21"/>
  <c r="A33" i="37"/>
  <c r="F33" i="37" s="1"/>
  <c r="A31" i="21"/>
  <c r="A34" i="37"/>
  <c r="E34" i="37" s="1"/>
  <c r="A32" i="21"/>
  <c r="A35" i="37"/>
  <c r="B35" i="37" s="1"/>
  <c r="A33" i="21"/>
  <c r="A36" i="37"/>
  <c r="F36" i="37" s="1"/>
  <c r="A34" i="21"/>
  <c r="A37" i="37"/>
  <c r="E37" i="37" s="1"/>
  <c r="A35" i="21"/>
  <c r="A38" i="37"/>
  <c r="F38" i="37" s="1"/>
  <c r="A36" i="21"/>
  <c r="A39" i="37"/>
  <c r="F39" i="37" s="1"/>
  <c r="A37" i="21"/>
  <c r="A40" i="37"/>
  <c r="D40" i="37" s="1"/>
  <c r="A38" i="21"/>
  <c r="F40" i="37"/>
  <c r="A41" i="37"/>
  <c r="F41" i="37" s="1"/>
  <c r="A39" i="21"/>
  <c r="A42" i="37"/>
  <c r="F42" i="37" s="1"/>
  <c r="A40" i="21"/>
  <c r="A43" i="37"/>
  <c r="B43" i="37" s="1"/>
  <c r="A41" i="21"/>
  <c r="A44" i="37"/>
  <c r="F44" i="37" s="1"/>
  <c r="A42" i="21"/>
  <c r="A45" i="37"/>
  <c r="B45" i="37" s="1"/>
  <c r="A43" i="21"/>
  <c r="A46" i="37"/>
  <c r="E46" i="37" s="1"/>
  <c r="A44" i="21"/>
  <c r="B32" i="37"/>
  <c r="B39" i="37"/>
  <c r="B41" i="37"/>
  <c r="A23" i="37"/>
  <c r="A21" i="21"/>
  <c r="A8" i="37"/>
  <c r="K71" i="38"/>
  <c r="K72" i="38"/>
  <c r="K73" i="38"/>
  <c r="K74" i="38"/>
  <c r="K75" i="38"/>
  <c r="K76" i="38"/>
  <c r="K77" i="38"/>
  <c r="T71" i="38"/>
  <c r="T72" i="38"/>
  <c r="T73" i="38"/>
  <c r="T74" i="38"/>
  <c r="T75" i="38"/>
  <c r="T76" i="38"/>
  <c r="T77" i="38"/>
  <c r="F98" i="38"/>
  <c r="F99" i="38"/>
  <c r="F100" i="38"/>
  <c r="F101" i="38"/>
  <c r="F102" i="38"/>
  <c r="F103" i="38"/>
  <c r="F104" i="38"/>
  <c r="O98" i="38"/>
  <c r="O99" i="38"/>
  <c r="O100" i="38"/>
  <c r="O101" i="38"/>
  <c r="O102" i="38"/>
  <c r="O103" i="38"/>
  <c r="O104" i="38"/>
  <c r="J50" i="38"/>
  <c r="J51" i="38"/>
  <c r="J52" i="38"/>
  <c r="J53" i="38"/>
  <c r="J54" i="38"/>
  <c r="H50" i="38"/>
  <c r="A10" i="37"/>
  <c r="A4" i="37"/>
  <c r="A1" i="37"/>
  <c r="Q12" i="22"/>
  <c r="L37" i="38" s="1"/>
  <c r="S18" i="22"/>
  <c r="L18" i="22"/>
  <c r="B37" i="38" s="1"/>
  <c r="N8" i="22"/>
  <c r="A2" i="21"/>
  <c r="B1" i="22"/>
  <c r="G4" i="22"/>
  <c r="G10" i="22"/>
  <c r="B16" i="22"/>
  <c r="G16" i="22"/>
  <c r="B22" i="22"/>
  <c r="G22" i="22"/>
  <c r="A1" i="38"/>
  <c r="T29" i="38"/>
  <c r="T30" i="38"/>
  <c r="T31" i="38"/>
  <c r="T32" i="38"/>
  <c r="T33" i="38"/>
  <c r="R29" i="38"/>
  <c r="O84" i="38"/>
  <c r="O85" i="38"/>
  <c r="O86" i="38"/>
  <c r="O87" i="38"/>
  <c r="O88" i="38"/>
  <c r="O89" i="38"/>
  <c r="O90" i="38"/>
  <c r="M98" i="38" l="1"/>
  <c r="B46" i="37"/>
  <c r="B31" i="37"/>
  <c r="D27" i="37"/>
  <c r="B37" i="37"/>
  <c r="D39" i="37"/>
  <c r="E39" i="37"/>
  <c r="D35" i="37"/>
  <c r="E29" i="37"/>
  <c r="T38" i="39"/>
  <c r="T30" i="39"/>
  <c r="T22" i="39"/>
  <c r="W39" i="39"/>
  <c r="T37" i="39"/>
  <c r="W31" i="39"/>
  <c r="T29" i="39"/>
  <c r="W23" i="39"/>
  <c r="T21" i="39"/>
  <c r="W15" i="39"/>
  <c r="T13" i="39"/>
  <c r="W44" i="39"/>
  <c r="T41" i="39"/>
  <c r="W36" i="39"/>
  <c r="T33" i="39"/>
  <c r="W28" i="39"/>
  <c r="T25" i="39"/>
  <c r="W20" i="39"/>
  <c r="T17" i="39"/>
  <c r="W12" i="39"/>
  <c r="B42" i="37"/>
  <c r="B33" i="37"/>
  <c r="D37" i="37"/>
  <c r="E33" i="37"/>
  <c r="T43" i="39"/>
  <c r="W37" i="39"/>
  <c r="T35" i="39"/>
  <c r="W29" i="39"/>
  <c r="T27" i="39"/>
  <c r="W21" i="39"/>
  <c r="W13" i="39"/>
  <c r="B29" i="37"/>
  <c r="E42" i="37"/>
  <c r="F34" i="37"/>
  <c r="D29" i="37"/>
  <c r="B30" i="37"/>
  <c r="B40" i="37"/>
  <c r="D42" i="37"/>
  <c r="E40" i="37"/>
  <c r="F37" i="37"/>
  <c r="D36" i="37"/>
  <c r="E32" i="37"/>
  <c r="T5" i="39"/>
  <c r="E45" i="37"/>
  <c r="R50" i="38"/>
  <c r="R60" i="38"/>
  <c r="E41" i="37"/>
  <c r="T10" i="39"/>
  <c r="B38" i="37"/>
  <c r="D45" i="37"/>
  <c r="D34" i="37"/>
  <c r="E31" i="37"/>
  <c r="D44" i="37"/>
  <c r="D31" i="37"/>
  <c r="F32" i="37"/>
  <c r="B34" i="37"/>
  <c r="D43" i="37"/>
  <c r="F45" i="37"/>
  <c r="H60" i="38"/>
  <c r="G98" i="38"/>
  <c r="D28" i="37"/>
  <c r="L50" i="38"/>
  <c r="G84" i="38"/>
  <c r="H71" i="38"/>
  <c r="B71" i="38"/>
  <c r="W5" i="39"/>
  <c r="T8" i="39"/>
  <c r="M84" i="38"/>
  <c r="L71" i="38"/>
  <c r="R71" i="38"/>
  <c r="W9" i="39"/>
  <c r="W10" i="39"/>
  <c r="T7" i="39"/>
  <c r="W11" i="39"/>
  <c r="T6" i="39"/>
  <c r="T9" i="39"/>
  <c r="W8" i="39"/>
  <c r="W7" i="39"/>
  <c r="T11" i="39"/>
  <c r="W6" i="39"/>
  <c r="J17" i="37"/>
  <c r="M16" i="37"/>
  <c r="K22" i="37"/>
  <c r="J15" i="37"/>
  <c r="K15" i="37"/>
  <c r="M22" i="37"/>
  <c r="K16" i="37"/>
  <c r="K21" i="37"/>
  <c r="M21" i="37"/>
  <c r="M11" i="37"/>
  <c r="M20" i="37"/>
  <c r="M17" i="37"/>
  <c r="K20" i="37"/>
  <c r="K19" i="37"/>
  <c r="D46" i="37"/>
  <c r="D38" i="37"/>
  <c r="F46" i="37"/>
  <c r="F30" i="37"/>
  <c r="B44" i="37"/>
  <c r="B36" i="37"/>
  <c r="D41" i="37"/>
  <c r="D33" i="37"/>
  <c r="M19" i="37"/>
  <c r="K18" i="37"/>
  <c r="E38" i="37"/>
  <c r="E30" i="37"/>
  <c r="F43" i="37"/>
  <c r="F35" i="37"/>
  <c r="F27" i="37"/>
  <c r="J11" i="37"/>
  <c r="B27" i="37"/>
  <c r="E43" i="37"/>
  <c r="E35" i="37"/>
  <c r="B28" i="37"/>
  <c r="E44" i="37"/>
  <c r="E36" i="37"/>
  <c r="E28" i="37"/>
  <c r="M18" i="37"/>
  <c r="M25" i="22"/>
  <c r="O25" i="22" s="1"/>
  <c r="D21" i="37"/>
  <c r="F21" i="37"/>
  <c r="B21" i="37"/>
  <c r="R7" i="22"/>
  <c r="T7" i="22" s="1"/>
  <c r="F23" i="37"/>
  <c r="E15" i="37"/>
  <c r="E17" i="37"/>
  <c r="E18" i="37"/>
  <c r="E22" i="37"/>
  <c r="E20" i="37"/>
  <c r="F20" i="37" s="1"/>
  <c r="E19" i="37"/>
  <c r="B19" i="37"/>
  <c r="F19" i="37"/>
  <c r="D19" i="37"/>
  <c r="E16" i="37"/>
  <c r="D16" i="37" s="1"/>
  <c r="F16" i="37"/>
  <c r="F14" i="37"/>
  <c r="B34" i="39" l="1"/>
  <c r="B37" i="39"/>
  <c r="B21" i="39"/>
  <c r="B35" i="39"/>
  <c r="B28" i="39"/>
  <c r="B10" i="39"/>
  <c r="B17" i="39"/>
  <c r="B33" i="39"/>
  <c r="B20" i="39"/>
  <c r="B18" i="39"/>
  <c r="B15" i="39"/>
  <c r="B32" i="39"/>
  <c r="B22" i="39"/>
  <c r="B29" i="39"/>
  <c r="B8" i="39"/>
  <c r="B14" i="39"/>
  <c r="B11" i="39"/>
  <c r="B12" i="39"/>
  <c r="B9" i="39"/>
  <c r="B25" i="39"/>
  <c r="B41" i="39"/>
  <c r="B6" i="39"/>
  <c r="B5" i="39"/>
  <c r="B36" i="39"/>
  <c r="B30" i="39"/>
  <c r="B19" i="39"/>
  <c r="B26" i="39"/>
  <c r="B40" i="39"/>
  <c r="B31" i="39"/>
  <c r="B16" i="39"/>
  <c r="B13" i="39"/>
  <c r="B24" i="39"/>
  <c r="B27" i="39"/>
  <c r="B43" i="39"/>
  <c r="B38" i="39"/>
  <c r="B7" i="39"/>
  <c r="B23" i="39"/>
  <c r="B39" i="39"/>
  <c r="B42" i="39"/>
  <c r="B44" i="39"/>
  <c r="E14" i="37"/>
  <c r="D14" i="37" s="1"/>
  <c r="M18" i="22"/>
  <c r="O18" i="22" s="1"/>
  <c r="M6" i="22"/>
  <c r="O6" i="22" s="1"/>
  <c r="R18" i="22"/>
  <c r="T18" i="22" s="1"/>
  <c r="M12" i="22"/>
  <c r="O12" i="22" s="1"/>
  <c r="R8" i="22"/>
  <c r="T8" i="22" s="1"/>
  <c r="R14" i="22"/>
  <c r="T14" i="22" s="1"/>
  <c r="M20" i="22"/>
  <c r="O20" i="22" s="1"/>
  <c r="B20" i="37"/>
  <c r="F22" i="37"/>
  <c r="D22" i="37"/>
  <c r="B22" i="37"/>
  <c r="H8" i="22"/>
  <c r="J8" i="22" s="1"/>
  <c r="R20" i="22"/>
  <c r="T20" i="22" s="1"/>
  <c r="B16" i="37"/>
  <c r="D20" i="37"/>
  <c r="D18" i="37"/>
  <c r="F18" i="37"/>
  <c r="B18" i="37"/>
  <c r="R12" i="22"/>
  <c r="T12" i="22" s="1"/>
  <c r="M26" i="22"/>
  <c r="O26" i="22" s="1"/>
  <c r="H7" i="22"/>
  <c r="J7" i="22" s="1"/>
  <c r="R26" i="22"/>
  <c r="T26" i="22" s="1"/>
  <c r="M8" i="22"/>
  <c r="O8" i="22" s="1"/>
  <c r="R13" i="22"/>
  <c r="T13" i="22" s="1"/>
  <c r="R25" i="22"/>
  <c r="T25" i="22" s="1"/>
  <c r="M19" i="22"/>
  <c r="O19" i="22" s="1"/>
  <c r="M7" i="22"/>
  <c r="O7" i="22" s="1"/>
  <c r="B15" i="37"/>
  <c r="D15" i="37"/>
  <c r="F15" i="37"/>
  <c r="D17" i="37"/>
  <c r="B17" i="37"/>
  <c r="F17" i="37"/>
  <c r="M14" i="22"/>
  <c r="O14" i="22" s="1"/>
  <c r="M13" i="22"/>
  <c r="O13" i="22" s="1"/>
  <c r="R19" i="22"/>
  <c r="T19" i="22" s="1"/>
  <c r="R24" i="22"/>
  <c r="T24" i="22" s="1"/>
  <c r="R6" i="22"/>
  <c r="T6" i="22" s="1"/>
  <c r="M24" i="22"/>
  <c r="O24" i="22" s="1"/>
  <c r="H6" i="22"/>
  <c r="J6" i="22" s="1"/>
  <c r="R6" i="21" l="1"/>
  <c r="E5" i="21"/>
  <c r="C6" i="22" s="1"/>
  <c r="N7" i="21"/>
  <c r="B20" i="22" s="1"/>
  <c r="B28" i="38" s="1"/>
  <c r="M7" i="21"/>
  <c r="P35" i="21"/>
  <c r="F5" i="21"/>
  <c r="D6" i="22" s="1"/>
  <c r="J36" i="21"/>
  <c r="L36" i="21" s="1"/>
  <c r="B42" i="21"/>
  <c r="K7" i="21"/>
  <c r="D19" i="22" s="1"/>
  <c r="H22" i="21"/>
  <c r="I38" i="21"/>
  <c r="H10" i="21"/>
  <c r="C7" i="21"/>
  <c r="D16" i="21"/>
  <c r="L24" i="22" s="1"/>
  <c r="Q5" i="38" s="1"/>
  <c r="D30" i="21"/>
  <c r="T28" i="21"/>
  <c r="E36" i="21"/>
  <c r="G36" i="21" s="1"/>
  <c r="I5" i="21"/>
  <c r="B7" i="22" s="1"/>
  <c r="B6" i="38" s="1"/>
  <c r="K8" i="21"/>
  <c r="D25" i="22" s="1"/>
  <c r="F18" i="21"/>
  <c r="F14" i="21"/>
  <c r="N12" i="22" s="1"/>
  <c r="H15" i="21"/>
  <c r="P41" i="21"/>
  <c r="N43" i="21"/>
  <c r="H36" i="21"/>
  <c r="H19" i="21"/>
  <c r="M30" i="21"/>
  <c r="I20" i="21"/>
  <c r="Q7" i="22" s="1"/>
  <c r="G6" i="38" s="1"/>
  <c r="M42" i="21"/>
  <c r="H18" i="21"/>
  <c r="B31" i="21"/>
  <c r="E42" i="21"/>
  <c r="G42" i="21" s="1"/>
  <c r="E12" i="21"/>
  <c r="G12" i="21" s="1"/>
  <c r="J40" i="21"/>
  <c r="L40" i="21" s="1"/>
  <c r="K13" i="21"/>
  <c r="N7" i="22" s="1"/>
  <c r="R39" i="21"/>
  <c r="N26" i="21"/>
  <c r="R30" i="21"/>
  <c r="B12" i="21"/>
  <c r="H4" i="22" s="1"/>
  <c r="G14" i="38" s="1"/>
  <c r="I14" i="21"/>
  <c r="L13" i="22" s="1"/>
  <c r="Q27" i="38" s="1"/>
  <c r="D14" i="21"/>
  <c r="L12" i="22" s="1"/>
  <c r="Q26" i="38" s="1"/>
  <c r="T40" i="21"/>
  <c r="R12" i="21"/>
  <c r="O38" i="21"/>
  <c r="Q38" i="21" s="1"/>
  <c r="E15" i="21"/>
  <c r="G15" i="21" s="1"/>
  <c r="T24" i="21"/>
  <c r="F26" i="37" s="1"/>
  <c r="N28" i="21"/>
  <c r="C9" i="21"/>
  <c r="R38" i="21"/>
  <c r="O9" i="21"/>
  <c r="H26" i="22" s="1"/>
  <c r="D24" i="21"/>
  <c r="O12" i="21"/>
  <c r="Q12" i="21" s="1"/>
  <c r="H27" i="21"/>
  <c r="K5" i="21"/>
  <c r="D7" i="22" s="1"/>
  <c r="O10" i="21"/>
  <c r="H20" i="22" s="1"/>
  <c r="O11" i="21"/>
  <c r="H14" i="22" s="1"/>
  <c r="N27" i="21"/>
  <c r="N12" i="21"/>
  <c r="G8" i="22" s="1"/>
  <c r="G17" i="38" s="1"/>
  <c r="N13" i="21"/>
  <c r="L8" i="22" s="1"/>
  <c r="B17" i="38" s="1"/>
  <c r="C25" i="21"/>
  <c r="N5" i="21"/>
  <c r="B8" i="22" s="1"/>
  <c r="B7" i="38" s="1"/>
  <c r="H5" i="21"/>
  <c r="K38" i="21"/>
  <c r="R8" i="21"/>
  <c r="I29" i="21"/>
  <c r="E9" i="21"/>
  <c r="M35" i="21"/>
  <c r="O40" i="21"/>
  <c r="Q40" i="21" s="1"/>
  <c r="B17" i="21"/>
  <c r="R22" i="22" s="1"/>
  <c r="L14" i="38" s="1"/>
  <c r="T23" i="21"/>
  <c r="F25" i="37" s="1"/>
  <c r="P37" i="21"/>
  <c r="M24" i="21"/>
  <c r="C29" i="21"/>
  <c r="D27" i="21"/>
  <c r="E41" i="21"/>
  <c r="G41" i="21" s="1"/>
  <c r="M15" i="21"/>
  <c r="I22" i="21"/>
  <c r="C13" i="21"/>
  <c r="C33" i="21"/>
  <c r="I35" i="21"/>
  <c r="C24" i="21"/>
  <c r="D26" i="37" s="1"/>
  <c r="J34" i="21"/>
  <c r="L34" i="21" s="1"/>
  <c r="T38" i="21"/>
  <c r="O29" i="21"/>
  <c r="Q29" i="21" s="1"/>
  <c r="D11" i="21"/>
  <c r="G12" i="22" s="1"/>
  <c r="L26" i="38" s="1"/>
  <c r="R11" i="21"/>
  <c r="F34" i="21"/>
  <c r="P26" i="21"/>
  <c r="F20" i="21"/>
  <c r="S6" i="22" s="1"/>
  <c r="N15" i="21"/>
  <c r="L20" i="22" s="1"/>
  <c r="B39" i="38" s="1"/>
  <c r="C20" i="21"/>
  <c r="H33" i="21"/>
  <c r="E7" i="21"/>
  <c r="K43" i="21"/>
  <c r="T21" i="21"/>
  <c r="N22" i="21"/>
  <c r="J28" i="21"/>
  <c r="L28" i="21" s="1"/>
  <c r="N32" i="21"/>
  <c r="I37" i="21"/>
  <c r="P34" i="21"/>
  <c r="O39" i="21"/>
  <c r="Q39" i="21" s="1"/>
  <c r="H31" i="21"/>
  <c r="P31" i="21"/>
  <c r="N33" i="21"/>
  <c r="D7" i="21"/>
  <c r="B18" i="22" s="1"/>
  <c r="B26" i="38" s="1"/>
  <c r="J39" i="21"/>
  <c r="L39" i="21" s="1"/>
  <c r="C15" i="21"/>
  <c r="E38" i="21"/>
  <c r="G38" i="21" s="1"/>
  <c r="T41" i="21"/>
  <c r="E31" i="21"/>
  <c r="G31" i="21" s="1"/>
  <c r="P15" i="21"/>
  <c r="N20" i="22" s="1"/>
  <c r="B37" i="21"/>
  <c r="R15" i="21"/>
  <c r="F38" i="21"/>
  <c r="M41" i="21"/>
  <c r="P20" i="21"/>
  <c r="S8" i="22" s="1"/>
  <c r="R40" i="21"/>
  <c r="T14" i="21"/>
  <c r="I17" i="21"/>
  <c r="Q25" i="22" s="1"/>
  <c r="L16" i="38" s="1"/>
  <c r="O21" i="21"/>
  <c r="Q21" i="21" s="1"/>
  <c r="H42" i="21"/>
  <c r="F11" i="21"/>
  <c r="I12" i="22" s="1"/>
  <c r="J33" i="21"/>
  <c r="L33" i="21" s="1"/>
  <c r="O33" i="21"/>
  <c r="Q33" i="21" s="1"/>
  <c r="I41" i="21"/>
  <c r="T15" i="21"/>
  <c r="J18" i="21"/>
  <c r="L18" i="21" s="1"/>
  <c r="T37" i="21"/>
  <c r="F29" i="21"/>
  <c r="R41" i="21"/>
  <c r="N9" i="21"/>
  <c r="G26" i="22" s="1"/>
  <c r="L7" i="38" s="1"/>
  <c r="I44" i="21"/>
  <c r="K39" i="21"/>
  <c r="K16" i="21"/>
  <c r="N25" i="22" s="1"/>
  <c r="N8" i="21"/>
  <c r="B26" i="22" s="1"/>
  <c r="Q17" i="38" s="1"/>
  <c r="J20" i="21"/>
  <c r="L20" i="21" s="1"/>
  <c r="T25" i="21"/>
  <c r="B13" i="21"/>
  <c r="M4" i="22" s="1"/>
  <c r="B14" i="38" s="1"/>
  <c r="P19" i="21"/>
  <c r="S14" i="22" s="1"/>
  <c r="K41" i="21"/>
  <c r="R13" i="21"/>
  <c r="O31" i="21"/>
  <c r="Q31" i="21" s="1"/>
  <c r="J14" i="21"/>
  <c r="L14" i="21" s="1"/>
  <c r="P16" i="21"/>
  <c r="N26" i="22" s="1"/>
  <c r="T13" i="21"/>
  <c r="K9" i="21"/>
  <c r="I25" i="22" s="1"/>
  <c r="M29" i="21"/>
  <c r="P27" i="21"/>
  <c r="K26" i="21"/>
  <c r="O17" i="21"/>
  <c r="Q17" i="21" s="1"/>
  <c r="R20" i="21"/>
  <c r="B29" i="21"/>
  <c r="K25" i="21"/>
  <c r="N25" i="21"/>
  <c r="T43" i="21"/>
  <c r="D12" i="21"/>
  <c r="G6" i="22" s="1"/>
  <c r="G15" i="38" s="1"/>
  <c r="J27" i="21"/>
  <c r="L27" i="21" s="1"/>
  <c r="F35" i="21"/>
  <c r="J44" i="21"/>
  <c r="L44" i="21" s="1"/>
  <c r="H12" i="21"/>
  <c r="H16" i="21"/>
  <c r="N30" i="21"/>
  <c r="B43" i="21"/>
  <c r="P14" i="21"/>
  <c r="N14" i="22" s="1"/>
  <c r="R24" i="21"/>
  <c r="C8" i="21"/>
  <c r="F23" i="21"/>
  <c r="T39" i="21"/>
  <c r="P23" i="21"/>
  <c r="E11" i="21"/>
  <c r="H12" i="22" s="1"/>
  <c r="J12" i="22" s="1"/>
  <c r="B38" i="21"/>
  <c r="F16" i="21"/>
  <c r="N24" i="22" s="1"/>
  <c r="O7" i="21"/>
  <c r="C20" i="22" s="1"/>
  <c r="F8" i="21"/>
  <c r="D24" i="22" s="1"/>
  <c r="O16" i="21"/>
  <c r="Q16" i="21" s="1"/>
  <c r="O15" i="21"/>
  <c r="Q15" i="21" s="1"/>
  <c r="B26" i="21"/>
  <c r="N34" i="21"/>
  <c r="F10" i="21"/>
  <c r="I18" i="22" s="1"/>
  <c r="K44" i="21"/>
  <c r="O35" i="21"/>
  <c r="Q35" i="21" s="1"/>
  <c r="E40" i="21"/>
  <c r="G40" i="21" s="1"/>
  <c r="H41" i="21"/>
  <c r="E32" i="21"/>
  <c r="G32" i="21" s="1"/>
  <c r="K32" i="21"/>
  <c r="O37" i="21"/>
  <c r="Q37" i="21" s="1"/>
  <c r="H13" i="21"/>
  <c r="I27" i="21"/>
  <c r="T18" i="21"/>
  <c r="J43" i="21"/>
  <c r="L43" i="21" s="1"/>
  <c r="O42" i="21"/>
  <c r="Q42" i="21" s="1"/>
  <c r="E30" i="21"/>
  <c r="G30" i="21" s="1"/>
  <c r="K18" i="21"/>
  <c r="S19" i="22" s="1"/>
  <c r="D26" i="21"/>
  <c r="F44" i="21"/>
  <c r="B28" i="21"/>
  <c r="D21" i="21"/>
  <c r="J30" i="21"/>
  <c r="L30" i="21" s="1"/>
  <c r="C10" i="21"/>
  <c r="C43" i="21"/>
  <c r="J9" i="21"/>
  <c r="H25" i="22" s="1"/>
  <c r="I18" i="21"/>
  <c r="Q19" i="22" s="1"/>
  <c r="G27" i="38" s="1"/>
  <c r="H44" i="21"/>
  <c r="F36" i="21"/>
  <c r="P18" i="21"/>
  <c r="S20" i="22" s="1"/>
  <c r="F7" i="21"/>
  <c r="D18" i="22" s="1"/>
  <c r="C35" i="21"/>
  <c r="R27" i="21"/>
  <c r="N19" i="21"/>
  <c r="Q14" i="22" s="1"/>
  <c r="L39" i="38" s="1"/>
  <c r="C42" i="21"/>
  <c r="O41" i="21"/>
  <c r="Q41" i="21" s="1"/>
  <c r="H30" i="21"/>
  <c r="R17" i="21"/>
  <c r="P40" i="21"/>
  <c r="F13" i="21"/>
  <c r="N6" i="22" s="1"/>
  <c r="J7" i="21"/>
  <c r="C19" i="22" s="1"/>
  <c r="B15" i="21"/>
  <c r="M16" i="22" s="1"/>
  <c r="B36" i="38" s="1"/>
  <c r="M8" i="21"/>
  <c r="T35" i="21"/>
  <c r="D31" i="21"/>
  <c r="I10" i="21"/>
  <c r="G19" i="22" s="1"/>
  <c r="G38" i="38" s="1"/>
  <c r="I32" i="21"/>
  <c r="B22" i="21"/>
  <c r="B24" i="37" s="1"/>
  <c r="M17" i="21"/>
  <c r="R7" i="21"/>
  <c r="C38" i="21"/>
  <c r="J24" i="21"/>
  <c r="L24" i="21" s="1"/>
  <c r="T22" i="21"/>
  <c r="F24" i="37" s="1"/>
  <c r="D28" i="21"/>
  <c r="J23" i="21"/>
  <c r="L23" i="21" s="1"/>
  <c r="D36" i="21"/>
  <c r="E43" i="21"/>
  <c r="G43" i="21" s="1"/>
  <c r="J10" i="21"/>
  <c r="H19" i="22" s="1"/>
  <c r="M28" i="21"/>
  <c r="K20" i="21"/>
  <c r="S7" i="22" s="1"/>
  <c r="B40" i="21"/>
  <c r="N37" i="21"/>
  <c r="P32" i="21"/>
  <c r="H35" i="21"/>
  <c r="K11" i="21"/>
  <c r="I13" i="22" s="1"/>
  <c r="K17" i="21"/>
  <c r="S25" i="22" s="1"/>
  <c r="P11" i="21"/>
  <c r="I14" i="22" s="1"/>
  <c r="T20" i="21"/>
  <c r="C36" i="21"/>
  <c r="C22" i="21"/>
  <c r="D24" i="37" s="1"/>
  <c r="N29" i="21"/>
  <c r="D15" i="21"/>
  <c r="F9" i="21"/>
  <c r="I24" i="22" s="1"/>
  <c r="E26" i="21"/>
  <c r="G26" i="21" s="1"/>
  <c r="E39" i="21"/>
  <c r="G39" i="21" s="1"/>
  <c r="B30" i="21"/>
  <c r="K27" i="21"/>
  <c r="J32" i="21"/>
  <c r="L32" i="21" s="1"/>
  <c r="R43" i="21"/>
  <c r="H32" i="21"/>
  <c r="B25" i="21"/>
  <c r="D43" i="21"/>
  <c r="J42" i="21"/>
  <c r="L42" i="21" s="1"/>
  <c r="R29" i="21"/>
  <c r="K40" i="21"/>
  <c r="O25" i="21"/>
  <c r="Q25" i="21" s="1"/>
  <c r="R16" i="21"/>
  <c r="C17" i="21"/>
  <c r="N38" i="21"/>
  <c r="T29" i="21"/>
  <c r="J16" i="21"/>
  <c r="L16" i="21" s="1"/>
  <c r="K35" i="21"/>
  <c r="C32" i="21"/>
  <c r="R33" i="21"/>
  <c r="M27" i="21"/>
  <c r="C31" i="21"/>
  <c r="E28" i="21"/>
  <c r="G28" i="21" s="1"/>
  <c r="D10" i="21"/>
  <c r="G18" i="22" s="1"/>
  <c r="G37" i="38" s="1"/>
  <c r="I11" i="21"/>
  <c r="G13" i="22" s="1"/>
  <c r="L27" i="38" s="1"/>
  <c r="D9" i="21"/>
  <c r="G24" i="22" s="1"/>
  <c r="L5" i="38" s="1"/>
  <c r="I8" i="21"/>
  <c r="B25" i="22" s="1"/>
  <c r="Q16" i="38" s="1"/>
  <c r="H24" i="21"/>
  <c r="T16" i="21"/>
  <c r="T17" i="21"/>
  <c r="O22" i="21"/>
  <c r="Q22" i="21" s="1"/>
  <c r="I40" i="21"/>
  <c r="I25" i="21"/>
  <c r="K33" i="21"/>
  <c r="M31" i="21"/>
  <c r="F22" i="21"/>
  <c r="R18" i="21"/>
  <c r="R36" i="21"/>
  <c r="P22" i="21"/>
  <c r="N36" i="21"/>
  <c r="O43" i="21"/>
  <c r="Q43" i="21" s="1"/>
  <c r="D22" i="21"/>
  <c r="N41" i="21"/>
  <c r="K12" i="21"/>
  <c r="I7" i="22" s="1"/>
  <c r="M20" i="21"/>
  <c r="K37" i="21"/>
  <c r="K29" i="21"/>
  <c r="H34" i="21"/>
  <c r="P9" i="21"/>
  <c r="I26" i="22" s="1"/>
  <c r="D39" i="21"/>
  <c r="C41" i="21"/>
  <c r="M13" i="21"/>
  <c r="B32" i="21"/>
  <c r="C14" i="21"/>
  <c r="F39" i="21"/>
  <c r="B33" i="21"/>
  <c r="T34" i="21"/>
  <c r="D37" i="21"/>
  <c r="K22" i="21"/>
  <c r="O44" i="21"/>
  <c r="Q44" i="21" s="1"/>
  <c r="I9" i="21"/>
  <c r="G25" i="22" s="1"/>
  <c r="L6" i="38" s="1"/>
  <c r="J17" i="21"/>
  <c r="L17" i="21" s="1"/>
  <c r="R10" i="21"/>
  <c r="F32" i="21"/>
  <c r="R35" i="21"/>
  <c r="B10" i="21"/>
  <c r="H16" i="22" s="1"/>
  <c r="G36" i="38" s="1"/>
  <c r="P24" i="21"/>
  <c r="M21" i="21"/>
  <c r="H11" i="21"/>
  <c r="J25" i="21"/>
  <c r="L25" i="21" s="1"/>
  <c r="N18" i="21"/>
  <c r="Q20" i="22" s="1"/>
  <c r="G28" i="38" s="1"/>
  <c r="J6" i="21"/>
  <c r="C13" i="22" s="1"/>
  <c r="O32" i="21"/>
  <c r="Q32" i="21" s="1"/>
  <c r="J21" i="21"/>
  <c r="L21" i="21" s="1"/>
  <c r="P38" i="21"/>
  <c r="I33" i="21"/>
  <c r="T8" i="21"/>
  <c r="E29" i="21"/>
  <c r="G29" i="21" s="1"/>
  <c r="D20" i="21"/>
  <c r="Q6" i="22" s="1"/>
  <c r="G5" i="38" s="1"/>
  <c r="M18" i="21"/>
  <c r="H9" i="21"/>
  <c r="K23" i="21"/>
  <c r="R42" i="21"/>
  <c r="B9" i="21"/>
  <c r="H22" i="22" s="1"/>
  <c r="L4" i="38" s="1"/>
  <c r="B24" i="21"/>
  <c r="B26" i="37" s="1"/>
  <c r="E18" i="21"/>
  <c r="G18" i="21" s="1"/>
  <c r="N23" i="21"/>
  <c r="C16" i="21"/>
  <c r="F37" i="21"/>
  <c r="J19" i="21"/>
  <c r="L19" i="21" s="1"/>
  <c r="J8" i="21"/>
  <c r="C25" i="22" s="1"/>
  <c r="R44" i="21"/>
  <c r="B16" i="21"/>
  <c r="M22" i="22" s="1"/>
  <c r="Q4" i="38" s="1"/>
  <c r="C34" i="21"/>
  <c r="E20" i="21"/>
  <c r="G20" i="21" s="1"/>
  <c r="J38" i="21"/>
  <c r="L38" i="21" s="1"/>
  <c r="P29" i="21"/>
  <c r="F40" i="21"/>
  <c r="E21" i="21"/>
  <c r="G21" i="21" s="1"/>
  <c r="R25" i="21"/>
  <c r="C28" i="21"/>
  <c r="C23" i="21"/>
  <c r="D25" i="37" s="1"/>
  <c r="E14" i="21"/>
  <c r="G14" i="21" s="1"/>
  <c r="M26" i="21"/>
  <c r="B35" i="21"/>
  <c r="E34" i="21"/>
  <c r="G34" i="21" s="1"/>
  <c r="P10" i="21"/>
  <c r="I20" i="22" s="1"/>
  <c r="K42" i="21"/>
  <c r="H23" i="21"/>
  <c r="T26" i="21"/>
  <c r="M44" i="21"/>
  <c r="I42" i="21"/>
  <c r="H38" i="21"/>
  <c r="B18" i="21"/>
  <c r="R16" i="22" s="1"/>
  <c r="G25" i="38" s="1"/>
  <c r="E23" i="21"/>
  <c r="G23" i="21" s="1"/>
  <c r="M22" i="21"/>
  <c r="H29" i="21"/>
  <c r="N21" i="21"/>
  <c r="F41" i="21"/>
  <c r="J13" i="21"/>
  <c r="L13" i="21" s="1"/>
  <c r="E27" i="21"/>
  <c r="G27" i="21" s="1"/>
  <c r="N20" i="21"/>
  <c r="Q8" i="22" s="1"/>
  <c r="G7" i="38" s="1"/>
  <c r="N44" i="21"/>
  <c r="R9" i="21"/>
  <c r="H21" i="21"/>
  <c r="D13" i="21"/>
  <c r="L6" i="22" s="1"/>
  <c r="B15" i="38" s="1"/>
  <c r="H40" i="21"/>
  <c r="P17" i="21"/>
  <c r="S26" i="22" s="1"/>
  <c r="P36" i="21"/>
  <c r="T30" i="21"/>
  <c r="N39" i="21"/>
  <c r="R22" i="21"/>
  <c r="P39" i="21"/>
  <c r="B39" i="21"/>
  <c r="I19" i="21"/>
  <c r="Q13" i="22" s="1"/>
  <c r="L38" i="38" s="1"/>
  <c r="I13" i="21"/>
  <c r="L7" i="22" s="1"/>
  <c r="B16" i="38" s="1"/>
  <c r="N14" i="21"/>
  <c r="L14" i="22" s="1"/>
  <c r="Q28" i="38" s="1"/>
  <c r="N24" i="21"/>
  <c r="C5" i="21"/>
  <c r="T36" i="21"/>
  <c r="N35" i="21"/>
  <c r="J37" i="21"/>
  <c r="L37" i="21" s="1"/>
  <c r="F33" i="21"/>
  <c r="I30" i="21"/>
  <c r="B19" i="21"/>
  <c r="R10" i="22" s="1"/>
  <c r="L36" i="38" s="1"/>
  <c r="I16" i="21"/>
  <c r="L25" i="22" s="1"/>
  <c r="Q6" i="38" s="1"/>
  <c r="D6" i="21"/>
  <c r="B12" i="22" s="1"/>
  <c r="Q37" i="38" s="1"/>
  <c r="H20" i="21"/>
  <c r="H43" i="21"/>
  <c r="O14" i="21"/>
  <c r="Q14" i="21" s="1"/>
  <c r="F6" i="21"/>
  <c r="D12" i="22" s="1"/>
  <c r="T5" i="21"/>
  <c r="K28" i="21"/>
  <c r="C6" i="21"/>
  <c r="R14" i="21"/>
  <c r="P5" i="21"/>
  <c r="D8" i="22" s="1"/>
  <c r="T6" i="21"/>
  <c r="R5" i="21"/>
  <c r="P6" i="21"/>
  <c r="D14" i="22" s="1"/>
  <c r="O6" i="21"/>
  <c r="H6" i="21"/>
  <c r="M6" i="21"/>
  <c r="B5" i="21"/>
  <c r="C4" i="22" s="1"/>
  <c r="B4" i="38" s="1"/>
  <c r="E44" i="21"/>
  <c r="G44" i="21" s="1"/>
  <c r="K6" i="21"/>
  <c r="D13" i="22" s="1"/>
  <c r="O5" i="21"/>
  <c r="B6" i="21"/>
  <c r="C10" i="22" s="1"/>
  <c r="Q36" i="38" s="1"/>
  <c r="N6" i="21"/>
  <c r="B14" i="22" s="1"/>
  <c r="Q39" i="38" s="1"/>
  <c r="K21" i="21"/>
  <c r="I6" i="21"/>
  <c r="B13" i="22" s="1"/>
  <c r="Q38" i="38" s="1"/>
  <c r="E6" i="21"/>
  <c r="M5" i="21"/>
  <c r="P44" i="21"/>
  <c r="O13" i="21"/>
  <c r="Q13" i="21" s="1"/>
  <c r="C19" i="21"/>
  <c r="K36" i="21"/>
  <c r="C40" i="21"/>
  <c r="M38" i="21"/>
  <c r="R26" i="21"/>
  <c r="P28" i="21"/>
  <c r="P25" i="21"/>
  <c r="I12" i="21"/>
  <c r="G7" i="22" s="1"/>
  <c r="G16" i="38" s="1"/>
  <c r="M10" i="21"/>
  <c r="F19" i="21"/>
  <c r="S12" i="22" s="1"/>
  <c r="D17" i="21"/>
  <c r="Q24" i="22" s="1"/>
  <c r="L15" i="38" s="1"/>
  <c r="C26" i="21"/>
  <c r="M23" i="21"/>
  <c r="P12" i="21"/>
  <c r="I8" i="22" s="1"/>
  <c r="I24" i="21"/>
  <c r="J26" i="21"/>
  <c r="L26" i="21" s="1"/>
  <c r="N10" i="21"/>
  <c r="G20" i="22" s="1"/>
  <c r="G39" i="38" s="1"/>
  <c r="K31" i="21"/>
  <c r="I26" i="21"/>
  <c r="P33" i="21"/>
  <c r="K15" i="21"/>
  <c r="N19" i="22" s="1"/>
  <c r="D34" i="21"/>
  <c r="F43" i="21"/>
  <c r="R28" i="21"/>
  <c r="B36" i="21"/>
  <c r="E13" i="21"/>
  <c r="G13" i="21" s="1"/>
  <c r="F21" i="21"/>
  <c r="K10" i="21"/>
  <c r="I19" i="22" s="1"/>
  <c r="O23" i="21"/>
  <c r="Q23" i="21" s="1"/>
  <c r="I23" i="21"/>
  <c r="B27" i="21"/>
  <c r="D19" i="21"/>
  <c r="H26" i="21"/>
  <c r="C37" i="21"/>
  <c r="M19" i="21"/>
  <c r="B20" i="21"/>
  <c r="R4" i="22" s="1"/>
  <c r="G4" i="38" s="1"/>
  <c r="B41" i="21"/>
  <c r="T27" i="21"/>
  <c r="I36" i="21"/>
  <c r="B11" i="21"/>
  <c r="H10" i="22" s="1"/>
  <c r="L25" i="38" s="1"/>
  <c r="T33" i="21"/>
  <c r="J29" i="21"/>
  <c r="L29" i="21" s="1"/>
  <c r="C21" i="21"/>
  <c r="D23" i="37" s="1"/>
  <c r="D23" i="21"/>
  <c r="F15" i="21"/>
  <c r="N18" i="22" s="1"/>
  <c r="I28" i="21"/>
  <c r="E24" i="21"/>
  <c r="G24" i="21" s="1"/>
  <c r="I34" i="21"/>
  <c r="E35" i="21"/>
  <c r="G35" i="21" s="1"/>
  <c r="D35" i="21"/>
  <c r="B8" i="21"/>
  <c r="C22" i="22" s="1"/>
  <c r="Q14" i="38" s="1"/>
  <c r="T7" i="21"/>
  <c r="T42" i="21"/>
  <c r="N31" i="21"/>
  <c r="D38" i="21"/>
  <c r="E10" i="21"/>
  <c r="B14" i="21"/>
  <c r="M10" i="22" s="1"/>
  <c r="Q25" i="38" s="1"/>
  <c r="R21" i="21"/>
  <c r="M39" i="21"/>
  <c r="C27" i="21"/>
  <c r="H25" i="21"/>
  <c r="J35" i="21"/>
  <c r="L35" i="21" s="1"/>
  <c r="C30" i="21"/>
  <c r="O36" i="21"/>
  <c r="Q36" i="21" s="1"/>
  <c r="M16" i="21"/>
  <c r="P13" i="21"/>
  <c r="N40" i="21"/>
  <c r="D25" i="21"/>
  <c r="R37" i="21"/>
  <c r="T10" i="21"/>
  <c r="R23" i="21"/>
  <c r="F12" i="21"/>
  <c r="I6" i="22" s="1"/>
  <c r="M37" i="21"/>
  <c r="O27" i="21"/>
  <c r="Q27" i="21" s="1"/>
  <c r="T9" i="21"/>
  <c r="J22" i="21"/>
  <c r="L22" i="21" s="1"/>
  <c r="M40" i="21"/>
  <c r="F30" i="21"/>
  <c r="T31" i="21"/>
  <c r="N42" i="21"/>
  <c r="M11" i="21"/>
  <c r="K30" i="21"/>
  <c r="K19" i="21"/>
  <c r="S13" i="22" s="1"/>
  <c r="B7" i="21"/>
  <c r="C16" i="22" s="1"/>
  <c r="B25" i="38" s="1"/>
  <c r="E25" i="21"/>
  <c r="G25" i="21" s="1"/>
  <c r="J31" i="21"/>
  <c r="L31" i="21" s="1"/>
  <c r="H39" i="21"/>
  <c r="R32" i="21"/>
  <c r="E33" i="21"/>
  <c r="G33" i="21" s="1"/>
  <c r="E17" i="21"/>
  <c r="G17" i="21" s="1"/>
  <c r="D8" i="21"/>
  <c r="B24" i="22" s="1"/>
  <c r="Q15" i="38" s="1"/>
  <c r="B23" i="21"/>
  <c r="B25" i="37" s="1"/>
  <c r="H17" i="21"/>
  <c r="J41" i="21"/>
  <c r="L41" i="21" s="1"/>
  <c r="R34" i="21"/>
  <c r="T12" i="21"/>
  <c r="D29" i="21"/>
  <c r="C39" i="21"/>
  <c r="C44" i="21"/>
  <c r="D32" i="21"/>
  <c r="K34" i="21"/>
  <c r="K14" i="21"/>
  <c r="N13" i="22" s="1"/>
  <c r="M32" i="21"/>
  <c r="O20" i="21"/>
  <c r="Q20" i="21" s="1"/>
  <c r="D5" i="21"/>
  <c r="B6" i="22" s="1"/>
  <c r="B5" i="38" s="1"/>
  <c r="I43" i="21"/>
  <c r="P43" i="21"/>
  <c r="B44" i="21"/>
  <c r="D18" i="21"/>
  <c r="Q18" i="22" s="1"/>
  <c r="G26" i="38" s="1"/>
  <c r="E16" i="21"/>
  <c r="G16" i="21" s="1"/>
  <c r="P21" i="21"/>
  <c r="I15" i="21"/>
  <c r="L19" i="22" s="1"/>
  <c r="B38" i="38" s="1"/>
  <c r="H7" i="21"/>
  <c r="F27" i="21"/>
  <c r="P42" i="21"/>
  <c r="M12" i="21"/>
  <c r="M34" i="21"/>
  <c r="H28" i="21"/>
  <c r="K24" i="21"/>
  <c r="J15" i="21"/>
  <c r="L15" i="21" s="1"/>
  <c r="E37" i="21"/>
  <c r="G37" i="21" s="1"/>
  <c r="N16" i="21"/>
  <c r="L26" i="22" s="1"/>
  <c r="Q7" i="38" s="1"/>
  <c r="I39" i="21"/>
  <c r="F25" i="21"/>
  <c r="M14" i="21"/>
  <c r="C18" i="21"/>
  <c r="F31" i="21"/>
  <c r="N11" i="21"/>
  <c r="G14" i="22" s="1"/>
  <c r="L28" i="38" s="1"/>
  <c r="F26" i="21"/>
  <c r="M36" i="21"/>
  <c r="O18" i="21"/>
  <c r="Q18" i="21" s="1"/>
  <c r="P30" i="21"/>
  <c r="P7" i="21"/>
  <c r="D20" i="22" s="1"/>
  <c r="H37" i="21"/>
  <c r="E19" i="21"/>
  <c r="G19" i="21" s="1"/>
  <c r="D44" i="21"/>
  <c r="P8" i="21"/>
  <c r="D26" i="22" s="1"/>
  <c r="F28" i="21"/>
  <c r="R19" i="21"/>
  <c r="I21" i="21"/>
  <c r="T11" i="21"/>
  <c r="O26" i="21"/>
  <c r="Q26" i="21" s="1"/>
  <c r="M43" i="21"/>
  <c r="O28" i="21"/>
  <c r="Q28" i="21" s="1"/>
  <c r="H8" i="21"/>
  <c r="N17" i="21"/>
  <c r="Q26" i="22" s="1"/>
  <c r="L17" i="38" s="1"/>
  <c r="O8" i="21"/>
  <c r="C26" i="22" s="1"/>
  <c r="M33" i="21"/>
  <c r="O30" i="21"/>
  <c r="Q30" i="21" s="1"/>
  <c r="I7" i="21"/>
  <c r="B19" i="22" s="1"/>
  <c r="B27" i="38" s="1"/>
  <c r="T32" i="21"/>
  <c r="D33" i="21"/>
  <c r="E22" i="21"/>
  <c r="G22" i="21" s="1"/>
  <c r="B21" i="21"/>
  <c r="B23" i="37" s="1"/>
  <c r="F17" i="21"/>
  <c r="S24" i="22" s="1"/>
  <c r="E8" i="21"/>
  <c r="G8" i="21" s="1"/>
  <c r="C12" i="21"/>
  <c r="D42" i="21"/>
  <c r="B34" i="21"/>
  <c r="O19" i="21"/>
  <c r="Q19" i="21" s="1"/>
  <c r="F42" i="21"/>
  <c r="O24" i="21"/>
  <c r="Q24" i="21" s="1"/>
  <c r="J11" i="21"/>
  <c r="H13" i="22" s="1"/>
  <c r="F24" i="21"/>
  <c r="R31" i="21"/>
  <c r="M25" i="21"/>
  <c r="D40" i="21"/>
  <c r="I31" i="21"/>
  <c r="T19" i="21"/>
  <c r="T44" i="21"/>
  <c r="H14" i="21"/>
  <c r="M9" i="21"/>
  <c r="D41" i="21"/>
  <c r="C11" i="21"/>
  <c r="J12" i="21"/>
  <c r="L12" i="21" s="1"/>
  <c r="O34" i="21"/>
  <c r="Q34" i="21" s="1"/>
  <c r="J5" i="21"/>
  <c r="L59" i="38" l="1"/>
  <c r="S13" i="21"/>
  <c r="O4" i="22" s="1"/>
  <c r="E19" i="22"/>
  <c r="Q9" i="21"/>
  <c r="J25" i="22"/>
  <c r="S37" i="21"/>
  <c r="J14" i="22"/>
  <c r="G56" i="38"/>
  <c r="L13" i="37" s="1"/>
  <c r="J13" i="22"/>
  <c r="J20" i="22"/>
  <c r="J19" i="22"/>
  <c r="J26" i="22"/>
  <c r="S12" i="21"/>
  <c r="J4" i="22" s="1"/>
  <c r="S19" i="21"/>
  <c r="T10" i="22" s="1"/>
  <c r="S15" i="21"/>
  <c r="O16" i="22" s="1"/>
  <c r="S29" i="21"/>
  <c r="Q11" i="21"/>
  <c r="S35" i="21"/>
  <c r="E6" i="22"/>
  <c r="L5" i="21"/>
  <c r="B47" i="38"/>
  <c r="S33" i="21"/>
  <c r="S32" i="21"/>
  <c r="G5" i="21"/>
  <c r="Q56" i="38"/>
  <c r="S41" i="21"/>
  <c r="B58" i="38"/>
  <c r="S36" i="21"/>
  <c r="S42" i="21"/>
  <c r="S30" i="21"/>
  <c r="G46" i="38"/>
  <c r="L9" i="21"/>
  <c r="S27" i="21"/>
  <c r="B48" i="38"/>
  <c r="S38" i="21"/>
  <c r="L8" i="21"/>
  <c r="E25" i="22"/>
  <c r="G57" i="38"/>
  <c r="S43" i="21"/>
  <c r="E26" i="22"/>
  <c r="Q47" i="38"/>
  <c r="Q8" i="21"/>
  <c r="S34" i="21"/>
  <c r="L11" i="21"/>
  <c r="S20" i="21"/>
  <c r="T4" i="22" s="1"/>
  <c r="C7" i="22"/>
  <c r="E7" i="22" s="1"/>
  <c r="Q10" i="21"/>
  <c r="Q46" i="38"/>
  <c r="S25" i="21"/>
  <c r="S21" i="21"/>
  <c r="E23" i="37" s="1"/>
  <c r="S18" i="21"/>
  <c r="T16" i="22" s="1"/>
  <c r="L6" i="21"/>
  <c r="S14" i="21"/>
  <c r="O10" i="22" s="1"/>
  <c r="S22" i="21"/>
  <c r="E24" i="37" s="1"/>
  <c r="L47" i="38"/>
  <c r="S40" i="21"/>
  <c r="S17" i="21"/>
  <c r="T22" i="22" s="1"/>
  <c r="L10" i="21"/>
  <c r="B59" i="38"/>
  <c r="S26" i="21"/>
  <c r="S16" i="21"/>
  <c r="O22" i="22" s="1"/>
  <c r="C12" i="22"/>
  <c r="E12" i="22" s="1"/>
  <c r="G6" i="21"/>
  <c r="G10" i="21"/>
  <c r="H18" i="22"/>
  <c r="J18" i="22" s="1"/>
  <c r="Q57" i="38"/>
  <c r="Q59" i="38"/>
  <c r="Q58" i="38"/>
  <c r="C18" i="22"/>
  <c r="E18" i="22" s="1"/>
  <c r="G7" i="21"/>
  <c r="G58" i="38"/>
  <c r="G59" i="38"/>
  <c r="S31" i="21"/>
  <c r="B56" i="38"/>
  <c r="L46" i="38"/>
  <c r="G47" i="38"/>
  <c r="S24" i="21"/>
  <c r="E26" i="37" s="1"/>
  <c r="E20" i="22"/>
  <c r="B57" i="38"/>
  <c r="C24" i="22"/>
  <c r="E24" i="22" s="1"/>
  <c r="G11" i="21"/>
  <c r="S39" i="21"/>
  <c r="Q7" i="21"/>
  <c r="B46" i="38"/>
  <c r="B49" i="38"/>
  <c r="C8" i="22"/>
  <c r="E8" i="22" s="1"/>
  <c r="Q5" i="21"/>
  <c r="G48" i="38"/>
  <c r="G49" i="38"/>
  <c r="G9" i="21"/>
  <c r="H24" i="22"/>
  <c r="J24" i="22" s="1"/>
  <c r="L58" i="38"/>
  <c r="L57" i="38"/>
  <c r="L56" i="38"/>
  <c r="L14" i="37" s="1"/>
  <c r="Q6" i="21"/>
  <c r="C14" i="22"/>
  <c r="E14" i="22" s="1"/>
  <c r="Q48" i="38"/>
  <c r="Q49" i="38"/>
  <c r="S23" i="21"/>
  <c r="E25" i="37" s="1"/>
  <c r="S44" i="21"/>
  <c r="S28" i="21"/>
  <c r="L49" i="38"/>
  <c r="L7" i="21"/>
  <c r="L48" i="38"/>
  <c r="E13" i="22"/>
  <c r="L68" i="38" l="1"/>
  <c r="L12" i="37"/>
  <c r="J14" i="37"/>
  <c r="M14" i="37"/>
  <c r="K14" i="37"/>
  <c r="L70" i="38"/>
  <c r="J13" i="37"/>
  <c r="K13" i="37"/>
  <c r="M13" i="37"/>
  <c r="B67" i="38"/>
  <c r="L69" i="38"/>
  <c r="L67" i="38"/>
  <c r="L81" i="38" s="1"/>
  <c r="B69" i="38"/>
  <c r="S5" i="21"/>
  <c r="E4" i="22" s="1"/>
  <c r="B68" i="38"/>
  <c r="S11" i="21"/>
  <c r="J10" i="22" s="1"/>
  <c r="S9" i="21"/>
  <c r="J22" i="22" s="1"/>
  <c r="S8" i="21"/>
  <c r="E22" i="22" s="1"/>
  <c r="B70" i="38"/>
  <c r="S10" i="21"/>
  <c r="J16" i="22" s="1"/>
  <c r="Q69" i="38"/>
  <c r="Q70" i="38"/>
  <c r="Q68" i="38"/>
  <c r="Q67" i="38"/>
  <c r="G67" i="38"/>
  <c r="G70" i="38"/>
  <c r="G69" i="38"/>
  <c r="G68" i="38"/>
  <c r="S6" i="21"/>
  <c r="E10" i="22" s="1"/>
  <c r="S7" i="21"/>
  <c r="E16" i="22" s="1"/>
  <c r="J12" i="37" l="1"/>
  <c r="M12" i="37"/>
  <c r="K12" i="37"/>
  <c r="L97" i="38"/>
  <c r="L83" i="38"/>
  <c r="L82" i="38"/>
  <c r="L96" i="38"/>
  <c r="L95" i="38"/>
  <c r="L94" i="38"/>
  <c r="B8" i="37" s="1"/>
  <c r="E8" i="37" s="1"/>
  <c r="L80" i="38"/>
  <c r="G94" i="38"/>
  <c r="B7" i="37" s="1"/>
  <c r="G83" i="38"/>
  <c r="G82" i="38"/>
  <c r="G97" i="38"/>
  <c r="G95" i="38"/>
  <c r="G80" i="38"/>
  <c r="G81" i="38"/>
  <c r="G96" i="38"/>
  <c r="B9" i="37" l="1"/>
  <c r="E13" i="37"/>
  <c r="E12" i="37"/>
  <c r="E11" i="37"/>
  <c r="B10" i="37"/>
  <c r="F10" i="37" s="1"/>
  <c r="F8" i="37"/>
  <c r="D8" i="37"/>
  <c r="E7" i="37"/>
  <c r="F7" i="37"/>
  <c r="D7" i="37"/>
  <c r="D9" i="37"/>
  <c r="F9" i="37"/>
  <c r="E9" i="37"/>
  <c r="D11" i="37" l="1"/>
  <c r="B11" i="37"/>
  <c r="F11" i="37"/>
  <c r="B12" i="37"/>
  <c r="F12" i="37"/>
  <c r="D12" i="37"/>
  <c r="B13" i="37"/>
  <c r="F13" i="37"/>
  <c r="D13" i="37"/>
  <c r="D10" i="37"/>
  <c r="E10" i="37"/>
</calcChain>
</file>

<file path=xl/sharedStrings.xml><?xml version="1.0" encoding="utf-8"?>
<sst xmlns="http://schemas.openxmlformats.org/spreadsheetml/2006/main" count="186" uniqueCount="81">
  <si>
    <t>Discipline :</t>
  </si>
  <si>
    <t>1er Match Qualif.</t>
  </si>
  <si>
    <t>2e MQ</t>
  </si>
  <si>
    <t>PROGRAMME DE GESTION 
CHAMPIONNAT DE FRANCE DES CLUBS
ECOLE DE TIR</t>
  </si>
  <si>
    <t>(CARABINE ou PISTOLET)</t>
  </si>
  <si>
    <t>date :</t>
  </si>
  <si>
    <t>DEMI-FINALES</t>
  </si>
  <si>
    <t>CLUB</t>
  </si>
  <si>
    <t>TOTAL</t>
  </si>
  <si>
    <t>Bar.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</si>
  <si>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</si>
  <si>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POSTE</t>
  </si>
  <si>
    <t>1/4 FINALES</t>
  </si>
  <si>
    <t>Monsieur Philippe QUENTEL</t>
  </si>
  <si>
    <t>01 58 05 45 32</t>
  </si>
  <si>
    <t>1/4 finalistes sortants</t>
  </si>
  <si>
    <t>PETITE FINALE</t>
  </si>
  <si>
    <t>CLUBS QUALIFIES EN PHASE FINALE</t>
  </si>
  <si>
    <t>remplir en lettres majuscules</t>
  </si>
  <si>
    <t>FINALE</t>
  </si>
  <si>
    <t>n° CLUB</t>
  </si>
  <si>
    <t>PETITE
FINALE</t>
  </si>
  <si>
    <t>1 / 4   FINALES</t>
  </si>
  <si>
    <t>POINTS</t>
  </si>
  <si>
    <t>Nom</t>
  </si>
  <si>
    <t>1/8 FINALES</t>
  </si>
  <si>
    <t>téléphone :</t>
  </si>
  <si>
    <t>adresse électronique :</t>
  </si>
  <si>
    <t>pquentel@fftir.org</t>
  </si>
  <si>
    <t>COMPETITION</t>
  </si>
  <si>
    <t>RESPONSABLE DE LA SAISIE</t>
  </si>
  <si>
    <t>Ligue :</t>
  </si>
  <si>
    <t>NOMS</t>
  </si>
  <si>
    <t>série 1</t>
  </si>
  <si>
    <t>série 2</t>
  </si>
  <si>
    <t>POUSSINS</t>
  </si>
  <si>
    <t>BENJAMINS</t>
  </si>
  <si>
    <t>MINIMES</t>
  </si>
  <si>
    <t>N° club</t>
  </si>
  <si>
    <t>PLACE</t>
  </si>
  <si>
    <t>CLUBS</t>
  </si>
  <si>
    <t>M Q</t>
  </si>
  <si>
    <t>Séries</t>
  </si>
  <si>
    <t>Total</t>
  </si>
  <si>
    <t>Classement
provisoire</t>
  </si>
  <si>
    <t>1/8 FINALES (Suite)</t>
  </si>
  <si>
    <t>lieu :</t>
  </si>
  <si>
    <t>Nombre d'équipe :</t>
  </si>
  <si>
    <t>NOM Prénom :</t>
  </si>
  <si>
    <t>saison :</t>
  </si>
  <si>
    <t>(EN MAJUSCULE)</t>
  </si>
  <si>
    <t>M*</t>
  </si>
  <si>
    <t>16e MQ</t>
  </si>
  <si>
    <t>15e MQ</t>
  </si>
  <si>
    <t>14e MQ</t>
  </si>
  <si>
    <t>13e MQ</t>
  </si>
  <si>
    <t>12e MQ</t>
  </si>
  <si>
    <t>11e MQ</t>
  </si>
  <si>
    <t>10e MQ</t>
  </si>
  <si>
    <t>9e MQ</t>
  </si>
  <si>
    <t>Cl.</t>
  </si>
  <si>
    <t>1 / 8   FINALES</t>
  </si>
  <si>
    <t>1/8 finalistes sortants</t>
  </si>
  <si>
    <t>LIGUE</t>
  </si>
  <si>
    <t>Stand de Tir Pro Patria Montesso,</t>
  </si>
  <si>
    <t>2021 - 2022</t>
  </si>
  <si>
    <t>Ile de France</t>
  </si>
  <si>
    <t>ROUSSE Yves</t>
  </si>
  <si>
    <t>06 51 41 23 80</t>
  </si>
  <si>
    <t>rousseyves@orange.fr</t>
  </si>
  <si>
    <t>Pistolet</t>
  </si>
  <si>
    <t>Amicale des Tireurs de Buc</t>
  </si>
  <si>
    <t>10.78.084</t>
  </si>
  <si>
    <t>LAMBERT Dorian</t>
  </si>
  <si>
    <t>Tir National de Versailles</t>
  </si>
  <si>
    <t>BOUGEARD Amandine</t>
  </si>
  <si>
    <t>ASFAUX Filip</t>
  </si>
  <si>
    <t>LEFEBVRE Mahaut</t>
  </si>
  <si>
    <t>PINSON-COPIN Noa</t>
  </si>
  <si>
    <t>10.78.003</t>
  </si>
  <si>
    <t>ECHEGU Eloïs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</si>
</sst>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d\ mmmm\ yyyy;@"/>
    <numFmt numFmtId="165" formatCode="##\.##\.###"/>
    <numFmt numFmtId="166" formatCode="0.000000000000"/>
  </numFmts>
  <fonts count="67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24"/>
      <name val="Arial Narrow"/>
      <family val="2"/>
    </font>
    <font>
      <b/>
      <sz val="28"/>
      <name val="Arial Narrow"/>
      <family val="2"/>
    </font>
    <font>
      <b/>
      <sz val="30"/>
      <name val="Arial Narrow"/>
      <family val="2"/>
    </font>
    <font>
      <sz val="30"/>
      <name val="Arial Narrow"/>
      <family val="2"/>
    </font>
    <font>
      <b/>
      <sz val="32"/>
      <name val="Arial Narrow"/>
      <family val="2"/>
    </font>
    <font>
      <sz val="25"/>
      <name val="Arial Black"/>
      <family val="2"/>
    </font>
    <font>
      <sz val="14"/>
      <name val="Arial Narrow"/>
      <family val="2"/>
    </font>
    <font>
      <b/>
      <sz val="40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8"/>
      <color indexed="55"/>
      <name val="Arial Narrow"/>
      <family val="2"/>
    </font>
    <font>
      <sz val="25"/>
      <color indexed="18"/>
      <name val="Arial Black"/>
      <family val="2"/>
    </font>
    <font>
      <b/>
      <sz val="14"/>
      <color indexed="18"/>
      <name val="Arial Narrow"/>
      <family val="2"/>
    </font>
    <font>
      <b/>
      <sz val="50"/>
      <name val="Arial"/>
      <family val="2"/>
    </font>
    <font>
      <b/>
      <sz val="15"/>
      <name val="Arial"/>
      <family val="2"/>
    </font>
    <font>
      <sz val="10"/>
      <color indexed="9"/>
      <name val="Arial"/>
      <family val="2"/>
    </font>
    <font>
      <b/>
      <sz val="50"/>
      <color indexed="9"/>
      <name val="Arial"/>
      <family val="2"/>
    </font>
    <font>
      <sz val="14"/>
      <name val="Arial"/>
      <family val="2"/>
    </font>
    <font>
      <b/>
      <sz val="14"/>
      <name val="Arial Narrow"/>
      <family val="2"/>
    </font>
    <font>
      <sz val="10"/>
      <color indexed="55"/>
      <name val="Arial Narrow"/>
      <family val="2"/>
    </font>
    <font>
      <sz val="50"/>
      <name val="Arial"/>
      <family val="2"/>
    </font>
    <font>
      <b/>
      <sz val="15"/>
      <color indexed="9"/>
      <name val="Arial"/>
      <family val="2"/>
    </font>
    <font>
      <b/>
      <sz val="15"/>
      <color indexed="23"/>
      <name val="Arial"/>
      <family val="2"/>
    </font>
    <font>
      <sz val="50"/>
      <color indexed="18"/>
      <name val="Arial Black"/>
      <family val="2"/>
    </font>
    <font>
      <b/>
      <sz val="18"/>
      <color indexed="23"/>
      <name val="Arial Narrow"/>
      <family val="2"/>
    </font>
    <font>
      <sz val="14"/>
      <color indexed="23"/>
      <name val="Arial Narrow"/>
      <family val="2"/>
    </font>
    <font>
      <b/>
      <sz val="40"/>
      <name val="Arial"/>
      <family val="2"/>
    </font>
    <font>
      <sz val="50"/>
      <color indexed="55"/>
      <name val="Arial Black"/>
      <family val="2"/>
    </font>
    <font>
      <b/>
      <sz val="15"/>
      <color indexed="23"/>
      <name val="Arial Narrow"/>
      <family val="2"/>
    </font>
    <font>
      <sz val="18"/>
      <color indexed="22"/>
      <name val="Arial Narrow"/>
      <family val="2"/>
    </font>
    <font>
      <sz val="20"/>
      <name val="Arial Black"/>
      <family val="2"/>
    </font>
    <font>
      <sz val="15"/>
      <color indexed="55"/>
      <name val="Arial Narrow"/>
      <family val="2"/>
    </font>
    <font>
      <sz val="18"/>
      <color theme="0" tint="-0.249977111117893"/>
      <name val="Arial Narrow"/>
      <family val="2"/>
    </font>
    <font>
      <b/>
      <sz val="28"/>
      <color theme="0" tint="-0.34998626667073579"/>
      <name val="Arial Narrow"/>
      <family val="2"/>
    </font>
    <font>
      <sz val="16"/>
      <color theme="0" tint="-0.249977111117893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color theme="0"/>
      <name val="Arial Narrow"/>
      <family val="2"/>
    </font>
    <font>
      <b/>
      <sz val="32"/>
      <color theme="0"/>
      <name val="Arial Narrow"/>
      <family val="2"/>
    </font>
    <font>
      <sz val="30"/>
      <color theme="0"/>
      <name val="Arial Narrow"/>
      <family val="2"/>
    </font>
    <font>
      <b/>
      <sz val="50"/>
      <name val="Arial Narrow"/>
      <family val="2"/>
    </font>
    <font>
      <b/>
      <sz val="28"/>
      <color theme="0"/>
      <name val="Arial Narrow"/>
      <family val="2"/>
    </font>
    <font>
      <b/>
      <sz val="16"/>
      <name val="Arial Narrow"/>
      <family val="2"/>
    </font>
    <font>
      <b/>
      <sz val="15"/>
      <name val="Arial Narrow"/>
      <family val="2"/>
    </font>
    <font>
      <b/>
      <sz val="15"/>
      <color theme="0"/>
      <name val="Arial"/>
      <family val="2"/>
    </font>
    <font>
      <u/>
      <sz val="10"/>
      <color theme="11"/>
      <name val="Verdana"/>
      <family val="2"/>
    </font>
    <font>
      <b/>
      <sz val="34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1D40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288">
    <xf numFmtId="0" fontId="0" fillId="0" borderId="0" xfId="0"/>
    <xf numFmtId="0" fontId="4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7" fillId="0" borderId="0" xfId="2" applyFont="1" applyFill="1" applyBorder="1" applyAlignment="1" applyProtection="1">
      <alignment horizontal="right" vertical="center" wrapText="1"/>
    </xf>
    <xf numFmtId="164" fontId="17" fillId="0" borderId="1" xfId="0" applyNumberFormat="1" applyFont="1" applyFill="1" applyBorder="1" applyAlignment="1" applyProtection="1">
      <alignment horizontal="left" vertical="center"/>
      <protection locked="0"/>
    </xf>
    <xf numFmtId="0" fontId="20" fillId="0" borderId="0" xfId="1" applyFont="1" applyFill="1" applyBorder="1" applyAlignment="1" applyProtection="1">
      <alignment horizontal="left" vertical="top"/>
    </xf>
    <xf numFmtId="0" fontId="19" fillId="0" borderId="0" xfId="1" applyFont="1" applyFill="1" applyBorder="1" applyAlignment="1" applyProtection="1">
      <alignment horizontal="left" vertical="top"/>
    </xf>
    <xf numFmtId="0" fontId="17" fillId="0" borderId="1" xfId="0" applyFont="1" applyFill="1" applyBorder="1" applyAlignment="1" applyProtection="1">
      <alignment horizontal="left" vertical="center" indent="1"/>
      <protection locked="0"/>
    </xf>
    <xf numFmtId="164" fontId="17" fillId="0" borderId="2" xfId="0" applyNumberFormat="1" applyFont="1" applyFill="1" applyBorder="1" applyAlignment="1" applyProtection="1">
      <alignment horizontal="left" vertical="center" indent="2"/>
      <protection locked="0"/>
    </xf>
    <xf numFmtId="1" fontId="17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1" applyFill="1" applyBorder="1" applyAlignment="1" applyProtection="1">
      <alignment horizontal="left" vertical="center" indent="1"/>
      <protection locked="0"/>
    </xf>
    <xf numFmtId="0" fontId="12" fillId="0" borderId="0" xfId="0" applyFont="1" applyFill="1" applyAlignment="1">
      <alignment horizontal="center" vertical="center" wrapText="1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25" fillId="0" borderId="0" xfId="0" quotePrefix="1" applyFont="1" applyFill="1" applyBorder="1" applyAlignment="1" applyProtection="1">
      <alignment horizontal="center" vertical="center" wrapText="1"/>
      <protection locked="0"/>
    </xf>
    <xf numFmtId="16" fontId="25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 applyProtection="1">
      <alignment horizontal="center" vertical="center" textRotation="90" wrapText="1"/>
      <protection locked="0"/>
    </xf>
    <xf numFmtId="0" fontId="31" fillId="0" borderId="0" xfId="0" applyFont="1" applyFill="1" applyAlignment="1">
      <alignment horizontal="center" vertical="center" wrapText="1"/>
    </xf>
    <xf numFmtId="0" fontId="44" fillId="0" borderId="0" xfId="0" applyFont="1" applyFill="1" applyBorder="1" applyAlignment="1" applyProtection="1">
      <alignment horizontal="center" vertical="center"/>
      <protection locked="0"/>
    </xf>
    <xf numFmtId="0" fontId="44" fillId="0" borderId="0" xfId="0" applyFont="1" applyFill="1" applyBorder="1" applyAlignment="1" applyProtection="1">
      <alignment horizontal="center" vertical="center" wrapText="1"/>
      <protection locked="0"/>
    </xf>
    <xf numFmtId="0" fontId="44" fillId="0" borderId="20" xfId="0" applyFont="1" applyFill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left" vertical="center"/>
      <protection locked="0"/>
    </xf>
    <xf numFmtId="0" fontId="17" fillId="0" borderId="1" xfId="0" applyNumberFormat="1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24" fillId="0" borderId="3" xfId="0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Fill="1" applyBorder="1" applyAlignment="1" applyProtection="1">
      <alignment horizontal="center" vertical="center"/>
      <protection locked="0"/>
    </xf>
    <xf numFmtId="165" fontId="45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45" fillId="0" borderId="3" xfId="0" applyNumberFormat="1" applyFont="1" applyBorder="1" applyAlignment="1" applyProtection="1">
      <alignment horizontal="center" vertical="center"/>
      <protection locked="0"/>
    </xf>
    <xf numFmtId="1" fontId="52" fillId="0" borderId="3" xfId="0" applyNumberFormat="1" applyFont="1" applyBorder="1" applyAlignment="1" applyProtection="1">
      <alignment horizontal="center" vertical="center"/>
      <protection locked="0"/>
    </xf>
    <xf numFmtId="0" fontId="51" fillId="0" borderId="0" xfId="0" applyFont="1" applyFill="1" applyBorder="1" applyAlignment="1" applyProtection="1">
      <alignment horizontal="center" vertical="center" wrapText="1"/>
      <protection locked="0"/>
    </xf>
    <xf numFmtId="164" fontId="17" fillId="0" borderId="2" xfId="0" applyNumberFormat="1" applyFont="1" applyFill="1" applyBorder="1" applyAlignment="1" applyProtection="1">
      <alignment horizontal="left" vertical="center"/>
      <protection locked="0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53" fillId="0" borderId="0" xfId="0" applyFont="1" applyAlignment="1">
      <alignment horizontal="center" vertical="center"/>
    </xf>
    <xf numFmtId="165" fontId="9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165" fontId="9" fillId="0" borderId="28" xfId="0" applyNumberFormat="1" applyFont="1" applyFill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1" fontId="11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1" fontId="11" fillId="0" borderId="28" xfId="0" applyNumberFormat="1" applyFont="1" applyFill="1" applyBorder="1" applyAlignment="1" applyProtection="1">
      <alignment horizontal="center" vertical="center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165" fontId="9" fillId="0" borderId="32" xfId="0" applyNumberFormat="1" applyFont="1" applyFill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1" fontId="11" fillId="0" borderId="32" xfId="0" applyNumberFormat="1" applyFont="1" applyFill="1" applyBorder="1" applyAlignment="1" applyProtection="1">
      <alignment horizontal="center" vertical="center"/>
      <protection locked="0"/>
    </xf>
    <xf numFmtId="1" fontId="54" fillId="0" borderId="37" xfId="0" applyNumberFormat="1" applyFont="1" applyFill="1" applyBorder="1" applyAlignment="1" applyProtection="1">
      <alignment horizontal="center" vertical="center" wrapText="1"/>
      <protection locked="0"/>
    </xf>
    <xf numFmtId="1" fontId="54" fillId="0" borderId="3" xfId="0" applyNumberFormat="1" applyFont="1" applyFill="1" applyBorder="1" applyAlignment="1" applyProtection="1">
      <alignment horizontal="center" vertical="center"/>
      <protection locked="0"/>
    </xf>
    <xf numFmtId="1" fontId="54" fillId="0" borderId="3" xfId="0" applyNumberFormat="1" applyFont="1" applyBorder="1" applyAlignment="1" applyProtection="1">
      <alignment horizontal="center" vertical="center"/>
      <protection locked="0"/>
    </xf>
    <xf numFmtId="0" fontId="42" fillId="0" borderId="17" xfId="0" applyFont="1" applyBorder="1" applyAlignment="1" applyProtection="1">
      <alignment horizontal="center" vertical="center"/>
      <protection locked="0"/>
    </xf>
    <xf numFmtId="0" fontId="42" fillId="0" borderId="18" xfId="0" applyFont="1" applyBorder="1" applyAlignment="1" applyProtection="1">
      <alignment horizontal="center" vertical="center"/>
      <protection locked="0"/>
    </xf>
    <xf numFmtId="0" fontId="42" fillId="0" borderId="19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9" fillId="4" borderId="23" xfId="0" applyFont="1" applyFill="1" applyBorder="1" applyAlignment="1" applyProtection="1">
      <alignment horizontal="center" vertical="center"/>
    </xf>
    <xf numFmtId="165" fontId="9" fillId="3" borderId="23" xfId="0" applyNumberFormat="1" applyFont="1" applyFill="1" applyBorder="1" applyAlignment="1" applyProtection="1">
      <alignment horizontal="center" vertical="center"/>
    </xf>
    <xf numFmtId="1" fontId="11" fillId="0" borderId="23" xfId="0" applyNumberFormat="1" applyFont="1" applyFill="1" applyBorder="1" applyAlignment="1" applyProtection="1">
      <alignment horizontal="center" vertical="center"/>
    </xf>
    <xf numFmtId="1" fontId="10" fillId="0" borderId="23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43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 applyProtection="1">
      <alignment horizontal="center" vertical="center"/>
    </xf>
    <xf numFmtId="0" fontId="24" fillId="0" borderId="23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vertical="center" wrapText="1"/>
    </xf>
    <xf numFmtId="0" fontId="19" fillId="0" borderId="0" xfId="0" applyFont="1" applyProtection="1"/>
    <xf numFmtId="0" fontId="17" fillId="0" borderId="0" xfId="0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left" vertical="center" indent="1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164" fontId="17" fillId="0" borderId="0" xfId="0" applyNumberFormat="1" applyFont="1" applyFill="1" applyBorder="1" applyAlignment="1" applyProtection="1">
      <alignment horizontal="left" vertical="center" indent="2"/>
    </xf>
    <xf numFmtId="0" fontId="18" fillId="0" borderId="0" xfId="1" applyFont="1" applyFill="1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left" vertical="center"/>
    </xf>
    <xf numFmtId="0" fontId="61" fillId="6" borderId="30" xfId="0" applyFont="1" applyFill="1" applyBorder="1" applyAlignment="1">
      <alignment horizontal="center" vertical="center"/>
    </xf>
    <xf numFmtId="0" fontId="61" fillId="6" borderId="24" xfId="0" applyFont="1" applyFill="1" applyBorder="1" applyAlignment="1">
      <alignment horizontal="center" vertical="center"/>
    </xf>
    <xf numFmtId="0" fontId="61" fillId="6" borderId="26" xfId="0" applyFont="1" applyFill="1" applyBorder="1" applyAlignment="1">
      <alignment horizontal="center" vertical="center"/>
    </xf>
    <xf numFmtId="1" fontId="59" fillId="6" borderId="32" xfId="0" applyNumberFormat="1" applyFont="1" applyFill="1" applyBorder="1" applyAlignment="1" applyProtection="1">
      <alignment horizontal="center" vertical="center"/>
    </xf>
    <xf numFmtId="1" fontId="59" fillId="6" borderId="25" xfId="0" applyNumberFormat="1" applyFont="1" applyFill="1" applyBorder="1" applyAlignment="1" applyProtection="1">
      <alignment horizontal="center" vertical="center"/>
    </xf>
    <xf numFmtId="1" fontId="59" fillId="6" borderId="28" xfId="0" applyNumberFormat="1" applyFont="1" applyFill="1" applyBorder="1" applyAlignment="1" applyProtection="1">
      <alignment horizontal="center" vertical="center"/>
    </xf>
    <xf numFmtId="0" fontId="57" fillId="6" borderId="29" xfId="0" applyFont="1" applyFill="1" applyBorder="1" applyAlignment="1">
      <alignment horizontal="center" vertical="center"/>
    </xf>
    <xf numFmtId="0" fontId="57" fillId="6" borderId="26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4" fillId="6" borderId="33" xfId="0" applyFont="1" applyFill="1" applyBorder="1" applyAlignment="1" applyProtection="1">
      <alignment horizontal="center" vertical="center"/>
      <protection locked="0"/>
    </xf>
    <xf numFmtId="0" fontId="64" fillId="6" borderId="34" xfId="0" applyFont="1" applyFill="1" applyBorder="1" applyAlignment="1" applyProtection="1">
      <alignment horizontal="center" vertical="center"/>
      <protection locked="0"/>
    </xf>
    <xf numFmtId="0" fontId="64" fillId="7" borderId="33" xfId="0" applyFont="1" applyFill="1" applyBorder="1" applyAlignment="1" applyProtection="1">
      <alignment horizontal="center" vertical="center"/>
      <protection locked="0"/>
    </xf>
    <xf numFmtId="0" fontId="64" fillId="7" borderId="34" xfId="0" applyFont="1" applyFill="1" applyBorder="1" applyAlignment="1" applyProtection="1">
      <alignment horizontal="center" vertical="center"/>
      <protection locked="0"/>
    </xf>
    <xf numFmtId="0" fontId="64" fillId="8" borderId="35" xfId="0" applyFont="1" applyFill="1" applyBorder="1" applyAlignment="1" applyProtection="1">
      <alignment horizontal="center" vertical="center"/>
      <protection locked="0"/>
    </xf>
    <xf numFmtId="0" fontId="64" fillId="8" borderId="36" xfId="0" applyFont="1" applyFill="1" applyBorder="1" applyAlignment="1" applyProtection="1">
      <alignment horizontal="center" vertical="center"/>
      <protection locked="0"/>
    </xf>
    <xf numFmtId="0" fontId="64" fillId="8" borderId="33" xfId="0" applyFont="1" applyFill="1" applyBorder="1" applyAlignment="1" applyProtection="1">
      <alignment horizontal="center" vertical="center"/>
      <protection locked="0"/>
    </xf>
    <xf numFmtId="0" fontId="64" fillId="8" borderId="34" xfId="0" applyFont="1" applyFill="1" applyBorder="1" applyAlignment="1" applyProtection="1">
      <alignment horizontal="center" vertical="center"/>
      <protection locked="0"/>
    </xf>
    <xf numFmtId="0" fontId="64" fillId="9" borderId="33" xfId="0" applyFont="1" applyFill="1" applyBorder="1" applyAlignment="1" applyProtection="1">
      <alignment horizontal="center" vertical="center"/>
      <protection locked="0"/>
    </xf>
    <xf numFmtId="0" fontId="64" fillId="9" borderId="34" xfId="0" applyFont="1" applyFill="1" applyBorder="1" applyAlignment="1" applyProtection="1">
      <alignment horizontal="center" vertical="center"/>
      <protection locked="0"/>
    </xf>
    <xf numFmtId="0" fontId="34" fillId="10" borderId="35" xfId="0" applyFont="1" applyFill="1" applyBorder="1" applyAlignment="1" applyProtection="1">
      <alignment horizontal="center" vertical="center"/>
      <protection locked="0"/>
    </xf>
    <xf numFmtId="0" fontId="34" fillId="10" borderId="36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</xf>
    <xf numFmtId="0" fontId="9" fillId="3" borderId="23" xfId="0" applyFont="1" applyFill="1" applyBorder="1" applyAlignment="1" applyProtection="1">
      <alignment horizontal="center" vertical="center"/>
    </xf>
    <xf numFmtId="0" fontId="11" fillId="0" borderId="31" xfId="0" applyNumberFormat="1" applyFont="1" applyBorder="1" applyAlignment="1" applyProtection="1">
      <alignment horizontal="center" vertical="center"/>
      <protection locked="0"/>
    </xf>
    <xf numFmtId="0" fontId="58" fillId="6" borderId="31" xfId="0" applyNumberFormat="1" applyFont="1" applyFill="1" applyBorder="1" applyAlignment="1">
      <alignment horizontal="center" vertical="center"/>
    </xf>
    <xf numFmtId="0" fontId="11" fillId="0" borderId="23" xfId="0" applyNumberFormat="1" applyFont="1" applyBorder="1" applyAlignment="1" applyProtection="1">
      <alignment horizontal="center" vertical="center"/>
      <protection locked="0"/>
    </xf>
    <xf numFmtId="0" fontId="58" fillId="6" borderId="23" xfId="0" applyNumberFormat="1" applyFont="1" applyFill="1" applyBorder="1" applyAlignment="1">
      <alignment horizontal="center" vertical="center"/>
    </xf>
    <xf numFmtId="0" fontId="11" fillId="0" borderId="27" xfId="0" applyNumberFormat="1" applyFont="1" applyBorder="1" applyAlignment="1" applyProtection="1">
      <alignment horizontal="center" vertical="center"/>
      <protection locked="0"/>
    </xf>
    <xf numFmtId="0" fontId="58" fillId="6" borderId="27" xfId="0" applyNumberFormat="1" applyFont="1" applyFill="1" applyBorder="1" applyAlignment="1">
      <alignment horizontal="center" vertical="center"/>
    </xf>
    <xf numFmtId="0" fontId="58" fillId="6" borderId="30" xfId="0" applyNumberFormat="1" applyFont="1" applyFill="1" applyBorder="1" applyAlignment="1">
      <alignment horizontal="center" vertical="center"/>
    </xf>
    <xf numFmtId="0" fontId="58" fillId="6" borderId="24" xfId="0" applyNumberFormat="1" applyFont="1" applyFill="1" applyBorder="1" applyAlignment="1">
      <alignment horizontal="center" vertical="center"/>
    </xf>
    <xf numFmtId="0" fontId="58" fillId="6" borderId="26" xfId="0" applyNumberFormat="1" applyFont="1" applyFill="1" applyBorder="1" applyAlignment="1">
      <alignment horizontal="center" vertical="center"/>
    </xf>
    <xf numFmtId="0" fontId="11" fillId="0" borderId="23" xfId="0" applyNumberFormat="1" applyFont="1" applyBorder="1" applyAlignment="1" applyProtection="1">
      <alignment horizontal="center" vertical="center"/>
    </xf>
    <xf numFmtId="0" fontId="11" fillId="3" borderId="23" xfId="0" applyNumberFormat="1" applyFont="1" applyFill="1" applyBorder="1" applyAlignment="1" applyProtection="1">
      <alignment horizontal="center" vertical="center"/>
    </xf>
    <xf numFmtId="0" fontId="11" fillId="4" borderId="23" xfId="0" applyNumberFormat="1" applyFont="1" applyFill="1" applyBorder="1" applyAlignment="1" applyProtection="1">
      <alignment horizontal="center" vertical="center"/>
    </xf>
    <xf numFmtId="0" fontId="32" fillId="2" borderId="7" xfId="0" applyNumberFormat="1" applyFont="1" applyFill="1" applyBorder="1" applyAlignment="1">
      <alignment horizontal="center" vertical="center"/>
    </xf>
    <xf numFmtId="0" fontId="38" fillId="0" borderId="22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32" fillId="2" borderId="4" xfId="0" applyNumberFormat="1" applyFont="1" applyFill="1" applyBorder="1" applyAlignment="1">
      <alignment horizontal="center" vertical="center"/>
    </xf>
    <xf numFmtId="0" fontId="32" fillId="2" borderId="5" xfId="0" applyNumberFormat="1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8" fillId="0" borderId="8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/>
    </xf>
    <xf numFmtId="0" fontId="38" fillId="0" borderId="11" xfId="0" applyNumberFormat="1" applyFont="1" applyFill="1" applyBorder="1" applyAlignment="1">
      <alignment horizontal="center" vertical="center"/>
    </xf>
    <xf numFmtId="0" fontId="13" fillId="0" borderId="12" xfId="0" applyNumberFormat="1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>
      <alignment horizontal="center" vertical="center"/>
    </xf>
    <xf numFmtId="0" fontId="38" fillId="0" borderId="14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6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Alignment="1">
      <alignment horizontal="center" vertical="center"/>
    </xf>
    <xf numFmtId="0" fontId="37" fillId="0" borderId="0" xfId="0" applyNumberFormat="1" applyFont="1" applyFill="1" applyAlignment="1">
      <alignment horizontal="center" vertical="center"/>
    </xf>
    <xf numFmtId="0" fontId="38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166" fontId="53" fillId="0" borderId="0" xfId="0" applyNumberFormat="1" applyFont="1" applyBorder="1" applyAlignment="1">
      <alignment horizontal="center" vertical="center"/>
    </xf>
    <xf numFmtId="0" fontId="24" fillId="0" borderId="23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66" fillId="0" borderId="31" xfId="0" applyFont="1" applyFill="1" applyBorder="1" applyAlignment="1">
      <alignment horizontal="center" vertical="center"/>
    </xf>
    <xf numFmtId="0" fontId="66" fillId="0" borderId="23" xfId="0" applyFont="1" applyFill="1" applyBorder="1" applyAlignment="1">
      <alignment horizontal="center" vertical="center"/>
    </xf>
    <xf numFmtId="0" fontId="66" fillId="0" borderId="27" xfId="0" applyFont="1" applyFill="1" applyBorder="1" applyAlignment="1">
      <alignment horizontal="center" vertical="center"/>
    </xf>
    <xf numFmtId="0" fontId="4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" xfId="0" applyNumberFormat="1" applyFont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 applyProtection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justify" vertical="center" wrapText="1"/>
    </xf>
    <xf numFmtId="0" fontId="15" fillId="0" borderId="0" xfId="0" applyFont="1" applyFill="1" applyBorder="1" applyAlignment="1" applyProtection="1">
      <alignment horizontal="left" vertical="top" indent="5"/>
    </xf>
    <xf numFmtId="0" fontId="29" fillId="5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60" fillId="0" borderId="0" xfId="0" applyFont="1" applyAlignment="1">
      <alignment horizontal="center" vertical="center"/>
    </xf>
    <xf numFmtId="0" fontId="60" fillId="0" borderId="52" xfId="0" applyFont="1" applyBorder="1" applyAlignment="1">
      <alignment horizontal="center" vertical="center"/>
    </xf>
    <xf numFmtId="0" fontId="58" fillId="6" borderId="38" xfId="0" applyFont="1" applyFill="1" applyBorder="1" applyAlignment="1">
      <alignment horizontal="center" vertical="center"/>
    </xf>
    <xf numFmtId="0" fontId="58" fillId="6" borderId="29" xfId="0" applyFont="1" applyFill="1" applyBorder="1" applyAlignment="1">
      <alignment horizontal="center" vertical="center" wrapText="1"/>
    </xf>
    <xf numFmtId="0" fontId="58" fillId="6" borderId="26" xfId="0" applyFont="1" applyFill="1" applyBorder="1" applyAlignment="1">
      <alignment horizontal="center" vertical="center" wrapText="1"/>
    </xf>
    <xf numFmtId="0" fontId="59" fillId="6" borderId="39" xfId="0" applyFont="1" applyFill="1" applyBorder="1" applyAlignment="1">
      <alignment horizontal="center" vertical="center"/>
    </xf>
    <xf numFmtId="0" fontId="59" fillId="6" borderId="28" xfId="0" applyFont="1" applyFill="1" applyBorder="1" applyAlignment="1">
      <alignment horizontal="center" vertical="center"/>
    </xf>
    <xf numFmtId="0" fontId="61" fillId="6" borderId="38" xfId="0" applyFont="1" applyFill="1" applyBorder="1" applyAlignment="1">
      <alignment horizontal="center" vertical="center" wrapText="1"/>
    </xf>
    <xf numFmtId="0" fontId="61" fillId="6" borderId="27" xfId="0" applyFont="1" applyFill="1" applyBorder="1" applyAlignment="1">
      <alignment horizontal="center" vertical="center"/>
    </xf>
    <xf numFmtId="0" fontId="58" fillId="6" borderId="39" xfId="0" applyFont="1" applyFill="1" applyBorder="1" applyAlignment="1">
      <alignment horizontal="center" vertical="center"/>
    </xf>
    <xf numFmtId="0" fontId="58" fillId="6" borderId="28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1" fillId="6" borderId="29" xfId="0" applyFont="1" applyFill="1" applyBorder="1" applyAlignment="1">
      <alignment horizontal="center" vertical="center" wrapText="1"/>
    </xf>
    <xf numFmtId="0" fontId="61" fillId="6" borderId="26" xfId="0" applyFont="1" applyFill="1" applyBorder="1" applyAlignment="1">
      <alignment horizontal="center" vertical="center" wrapText="1"/>
    </xf>
    <xf numFmtId="0" fontId="57" fillId="6" borderId="38" xfId="0" applyFont="1" applyFill="1" applyBorder="1" applyAlignment="1">
      <alignment horizontal="center" vertical="center"/>
    </xf>
    <xf numFmtId="0" fontId="57" fillId="6" borderId="27" xfId="0" applyFont="1" applyFill="1" applyBorder="1" applyAlignment="1">
      <alignment horizontal="center" vertical="center"/>
    </xf>
    <xf numFmtId="0" fontId="57" fillId="6" borderId="39" xfId="0" applyFont="1" applyFill="1" applyBorder="1" applyAlignment="1">
      <alignment horizontal="center" vertical="center"/>
    </xf>
    <xf numFmtId="0" fontId="57" fillId="6" borderId="28" xfId="0" applyFont="1" applyFill="1" applyBorder="1" applyAlignment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0" fontId="9" fillId="4" borderId="23" xfId="0" applyFont="1" applyFill="1" applyBorder="1" applyAlignment="1" applyProtection="1">
      <alignment horizontal="center" vertical="center" wrapText="1"/>
    </xf>
    <xf numFmtId="0" fontId="11" fillId="3" borderId="23" xfId="0" applyFont="1" applyFill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9" fillId="3" borderId="23" xfId="0" applyFont="1" applyFill="1" applyBorder="1" applyAlignment="1" applyProtection="1">
      <alignment horizontal="center" vertical="center"/>
    </xf>
    <xf numFmtId="0" fontId="11" fillId="4" borderId="23" xfId="0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50" fillId="0" borderId="0" xfId="0" applyFont="1" applyFill="1" applyAlignment="1">
      <alignment horizontal="center" vertical="center" wrapText="1"/>
    </xf>
    <xf numFmtId="0" fontId="13" fillId="0" borderId="40" xfId="0" applyNumberFormat="1" applyFont="1" applyFill="1" applyBorder="1" applyAlignment="1">
      <alignment horizontal="center" vertical="center"/>
    </xf>
    <xf numFmtId="0" fontId="13" fillId="0" borderId="22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56" fillId="9" borderId="41" xfId="0" applyFont="1" applyFill="1" applyBorder="1" applyAlignment="1">
      <alignment horizontal="center" vertical="center"/>
    </xf>
    <xf numFmtId="0" fontId="56" fillId="9" borderId="0" xfId="0" applyFont="1" applyFill="1" applyBorder="1" applyAlignment="1">
      <alignment horizontal="center" vertical="center"/>
    </xf>
    <xf numFmtId="0" fontId="56" fillId="9" borderId="6" xfId="0" applyFont="1" applyFill="1" applyBorder="1" applyAlignment="1">
      <alignment horizontal="center" vertical="center"/>
    </xf>
    <xf numFmtId="0" fontId="56" fillId="6" borderId="41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center" vertical="center"/>
    </xf>
    <xf numFmtId="0" fontId="56" fillId="6" borderId="6" xfId="0" applyFont="1" applyFill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56" fillId="7" borderId="41" xfId="0" applyFont="1" applyFill="1" applyBorder="1" applyAlignment="1">
      <alignment horizontal="center" vertical="center"/>
    </xf>
    <xf numFmtId="0" fontId="56" fillId="7" borderId="0" xfId="0" applyFont="1" applyFill="1" applyBorder="1" applyAlignment="1">
      <alignment horizontal="center" vertical="center"/>
    </xf>
    <xf numFmtId="0" fontId="56" fillId="7" borderId="6" xfId="0" applyFont="1" applyFill="1" applyBorder="1" applyAlignment="1">
      <alignment horizontal="center" vertical="center"/>
    </xf>
    <xf numFmtId="0" fontId="55" fillId="7" borderId="45" xfId="0" applyFont="1" applyFill="1" applyBorder="1" applyAlignment="1">
      <alignment horizontal="center" vertical="center"/>
    </xf>
    <xf numFmtId="0" fontId="55" fillId="7" borderId="46" xfId="0" applyFont="1" applyFill="1" applyBorder="1" applyAlignment="1">
      <alignment horizontal="center" vertical="center"/>
    </xf>
    <xf numFmtId="0" fontId="55" fillId="7" borderId="47" xfId="0" applyFont="1" applyFill="1" applyBorder="1" applyAlignment="1">
      <alignment horizontal="center" vertical="center"/>
    </xf>
    <xf numFmtId="0" fontId="56" fillId="8" borderId="41" xfId="0" applyFont="1" applyFill="1" applyBorder="1" applyAlignment="1">
      <alignment horizontal="center" vertical="center"/>
    </xf>
    <xf numFmtId="0" fontId="56" fillId="8" borderId="0" xfId="0" applyFont="1" applyFill="1" applyBorder="1" applyAlignment="1">
      <alignment horizontal="center" vertical="center"/>
    </xf>
    <xf numFmtId="0" fontId="56" fillId="8" borderId="6" xfId="0" applyFont="1" applyFill="1" applyBorder="1" applyAlignment="1">
      <alignment horizontal="center" vertical="center"/>
    </xf>
    <xf numFmtId="0" fontId="55" fillId="8" borderId="45" xfId="0" applyFont="1" applyFill="1" applyBorder="1" applyAlignment="1">
      <alignment horizontal="center" vertical="center"/>
    </xf>
    <xf numFmtId="0" fontId="55" fillId="8" borderId="46" xfId="0" applyFont="1" applyFill="1" applyBorder="1" applyAlignment="1">
      <alignment horizontal="center" vertical="center"/>
    </xf>
    <xf numFmtId="0" fontId="55" fillId="8" borderId="47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/>
    </xf>
    <xf numFmtId="0" fontId="39" fillId="0" borderId="42" xfId="0" applyFont="1" applyFill="1" applyBorder="1" applyAlignment="1">
      <alignment horizontal="center" vertical="center"/>
    </xf>
    <xf numFmtId="0" fontId="38" fillId="10" borderId="41" xfId="0" applyFont="1" applyFill="1" applyBorder="1" applyAlignment="1">
      <alignment horizontal="center" vertical="center"/>
    </xf>
    <xf numFmtId="0" fontId="38" fillId="10" borderId="0" xfId="0" applyFont="1" applyFill="1" applyBorder="1" applyAlignment="1">
      <alignment horizontal="center" vertical="center"/>
    </xf>
    <xf numFmtId="0" fontId="38" fillId="10" borderId="6" xfId="0" applyFont="1" applyFill="1" applyBorder="1" applyAlignment="1">
      <alignment horizontal="center" vertical="center"/>
    </xf>
    <xf numFmtId="0" fontId="62" fillId="10" borderId="45" xfId="0" applyFont="1" applyFill="1" applyBorder="1" applyAlignment="1">
      <alignment horizontal="center" vertical="center"/>
    </xf>
    <xf numFmtId="0" fontId="62" fillId="10" borderId="46" xfId="0" applyFont="1" applyFill="1" applyBorder="1" applyAlignment="1">
      <alignment horizontal="center" vertical="center"/>
    </xf>
    <xf numFmtId="0" fontId="62" fillId="10" borderId="47" xfId="0" applyFont="1" applyFill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55" fillId="9" borderId="45" xfId="0" applyFont="1" applyFill="1" applyBorder="1" applyAlignment="1">
      <alignment horizontal="center" vertical="center"/>
    </xf>
    <xf numFmtId="0" fontId="55" fillId="9" borderId="46" xfId="0" applyFont="1" applyFill="1" applyBorder="1" applyAlignment="1">
      <alignment horizontal="center" vertical="center"/>
    </xf>
    <xf numFmtId="0" fontId="55" fillId="9" borderId="47" xfId="0" applyFont="1" applyFill="1" applyBorder="1" applyAlignment="1">
      <alignment horizontal="center" vertical="center"/>
    </xf>
    <xf numFmtId="0" fontId="56" fillId="7" borderId="43" xfId="0" applyFont="1" applyFill="1" applyBorder="1" applyAlignment="1">
      <alignment horizontal="center" vertical="center"/>
    </xf>
    <xf numFmtId="0" fontId="56" fillId="7" borderId="48" xfId="0" applyFont="1" applyFill="1" applyBorder="1" applyAlignment="1">
      <alignment horizontal="center" vertical="center"/>
    </xf>
    <xf numFmtId="0" fontId="56" fillId="7" borderId="44" xfId="0" applyFont="1" applyFill="1" applyBorder="1" applyAlignment="1">
      <alignment horizontal="center" vertical="center"/>
    </xf>
    <xf numFmtId="0" fontId="55" fillId="6" borderId="45" xfId="0" applyFont="1" applyFill="1" applyBorder="1" applyAlignment="1">
      <alignment horizontal="center" vertical="center"/>
    </xf>
    <xf numFmtId="0" fontId="55" fillId="6" borderId="46" xfId="0" applyFont="1" applyFill="1" applyBorder="1" applyAlignment="1">
      <alignment horizontal="center" vertical="center"/>
    </xf>
    <xf numFmtId="0" fontId="55" fillId="6" borderId="47" xfId="0" applyFont="1" applyFill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56" fillId="7" borderId="40" xfId="0" applyFont="1" applyFill="1" applyBorder="1" applyAlignment="1">
      <alignment horizontal="center" vertical="center"/>
    </xf>
    <xf numFmtId="0" fontId="56" fillId="7" borderId="22" xfId="0" applyFont="1" applyFill="1" applyBorder="1" applyAlignment="1">
      <alignment horizontal="center" vertical="center"/>
    </xf>
    <xf numFmtId="0" fontId="56" fillId="7" borderId="42" xfId="0" applyFont="1" applyFill="1" applyBorder="1" applyAlignment="1">
      <alignment horizontal="center" vertical="center"/>
    </xf>
    <xf numFmtId="0" fontId="63" fillId="0" borderId="43" xfId="0" applyFont="1" applyBorder="1" applyAlignment="1">
      <alignment horizontal="center" vertical="center"/>
    </xf>
    <xf numFmtId="0" fontId="63" fillId="0" borderId="44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22" fillId="0" borderId="23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47" fillId="0" borderId="50" xfId="0" applyFont="1" applyBorder="1" applyAlignment="1" applyProtection="1">
      <alignment horizontal="center" vertical="center"/>
      <protection locked="0"/>
    </xf>
    <xf numFmtId="0" fontId="44" fillId="0" borderId="3" xfId="0" applyFont="1" applyFill="1" applyBorder="1" applyAlignment="1" applyProtection="1">
      <alignment horizontal="center" vertical="center" textRotation="90" wrapText="1"/>
      <protection locked="0"/>
    </xf>
    <xf numFmtId="0" fontId="48" fillId="0" borderId="3" xfId="0" applyFont="1" applyFill="1" applyBorder="1" applyAlignment="1" applyProtection="1">
      <alignment horizontal="center" vertical="center" textRotation="90" wrapText="1"/>
      <protection locked="0"/>
    </xf>
    <xf numFmtId="0" fontId="44" fillId="0" borderId="37" xfId="0" applyFont="1" applyFill="1" applyBorder="1" applyAlignment="1" applyProtection="1">
      <alignment horizontal="center" vertical="center" textRotation="90" wrapText="1"/>
      <protection locked="0"/>
    </xf>
    <xf numFmtId="0" fontId="44" fillId="0" borderId="0" xfId="0" applyFont="1" applyFill="1" applyBorder="1" applyAlignment="1" applyProtection="1">
      <alignment horizontal="center" vertical="center" textRotation="90" wrapText="1"/>
      <protection locked="0"/>
    </xf>
    <xf numFmtId="0" fontId="44" fillId="0" borderId="51" xfId="0" applyFont="1" applyFill="1" applyBorder="1" applyAlignment="1" applyProtection="1">
      <alignment horizontal="center" vertical="center" textRotation="90" wrapText="1"/>
      <protection locked="0"/>
    </xf>
    <xf numFmtId="0" fontId="22" fillId="0" borderId="23" xfId="0" applyFont="1" applyBorder="1" applyAlignment="1" applyProtection="1">
      <alignment horizontal="center" vertical="center" wrapText="1"/>
    </xf>
  </cellXfs>
  <cellStyles count="7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Normal" xfId="0" builtinId="0"/>
    <cellStyle name="Normal_CdFC carabine 10m Adultes 8+" xfId="2" xr:uid="{00000000-0005-0000-0000-000006000000}"/>
  </cellStyles>
  <dxfs count="39"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</dxf>
    <dxf>
      <font>
        <b/>
        <i val="0"/>
        <color auto="1"/>
      </font>
      <fill>
        <patternFill patternType="solid">
          <fgColor indexed="64"/>
          <bgColor rgb="FFF1D400"/>
        </patternFill>
      </fill>
    </dxf>
    <dxf>
      <font>
        <b/>
        <i val="0"/>
        <color theme="0"/>
      </font>
      <fill>
        <patternFill patternType="solid">
          <fgColor indexed="64"/>
          <bgColor theme="9" tint="-0.499984740745262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5" tint="-0.499984740745262"/>
        </patternFill>
      </fill>
    </dxf>
    <dxf>
      <font>
        <b/>
        <i val="0"/>
        <color theme="0"/>
      </font>
      <fill>
        <patternFill patternType="solid">
          <fgColor indexed="64"/>
          <bgColor theme="3" tint="-0.249977111117893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2" tint="-0.749992370372631"/>
        </patternFill>
      </fill>
    </dxf>
    <dxf>
      <font>
        <color theme="0"/>
      </font>
      <fill>
        <patternFill patternType="solid">
          <fgColor indexed="64"/>
          <bgColor theme="2" tint="-0.749992370372631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91</xdr:row>
      <xdr:rowOff>114300</xdr:rowOff>
    </xdr:from>
    <xdr:to>
      <xdr:col>6</xdr:col>
      <xdr:colOff>615950</xdr:colOff>
      <xdr:row>92</xdr:row>
      <xdr:rowOff>304800</xdr:rowOff>
    </xdr:to>
    <xdr:pic>
      <xdr:nvPicPr>
        <xdr:cNvPr id="42363" name="Picture 1">
          <a:extLst>
            <a:ext uri="{FF2B5EF4-FFF2-40B4-BE49-F238E27FC236}">
              <a16:creationId xmlns:a16="http://schemas.microsoft.com/office/drawing/2014/main" id="{00000000-0008-0000-0400-00007B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91</xdr:row>
      <xdr:rowOff>114300</xdr:rowOff>
    </xdr:from>
    <xdr:to>
      <xdr:col>14</xdr:col>
      <xdr:colOff>0</xdr:colOff>
      <xdr:row>92</xdr:row>
      <xdr:rowOff>304800</xdr:rowOff>
    </xdr:to>
    <xdr:pic>
      <xdr:nvPicPr>
        <xdr:cNvPr id="42364" name="Picture 7">
          <a:extLst>
            <a:ext uri="{FF2B5EF4-FFF2-40B4-BE49-F238E27FC236}">
              <a16:creationId xmlns:a16="http://schemas.microsoft.com/office/drawing/2014/main" id="{00000000-0008-0000-0400-00007C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368300</xdr:rowOff>
    </xdr:from>
    <xdr:to>
      <xdr:col>7</xdr:col>
      <xdr:colOff>381000</xdr:colOff>
      <xdr:row>2</xdr:row>
      <xdr:rowOff>368300</xdr:rowOff>
    </xdr:to>
    <xdr:sp macro="" textlink="">
      <xdr:nvSpPr>
        <xdr:cNvPr id="42365" name="Line 8">
          <a:extLst>
            <a:ext uri="{FF2B5EF4-FFF2-40B4-BE49-F238E27FC236}">
              <a16:creationId xmlns:a16="http://schemas.microsoft.com/office/drawing/2014/main" id="{00000000-0008-0000-0400-00007DA50000}"/>
            </a:ext>
          </a:extLst>
        </xdr:cNvPr>
        <xdr:cNvSpPr>
          <a:spLocks noChangeShapeType="1"/>
        </xdr:cNvSpPr>
      </xdr:nvSpPr>
      <xdr:spPr bwMode="auto">
        <a:xfrm flipH="1">
          <a:off x="0" y="21209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342900</xdr:colOff>
      <xdr:row>2</xdr:row>
      <xdr:rowOff>368300</xdr:rowOff>
    </xdr:from>
    <xdr:to>
      <xdr:col>20</xdr:col>
      <xdr:colOff>0</xdr:colOff>
      <xdr:row>2</xdr:row>
      <xdr:rowOff>368300</xdr:rowOff>
    </xdr:to>
    <xdr:sp macro="" textlink="">
      <xdr:nvSpPr>
        <xdr:cNvPr id="42366" name="Line 10">
          <a:extLst>
            <a:ext uri="{FF2B5EF4-FFF2-40B4-BE49-F238E27FC236}">
              <a16:creationId xmlns:a16="http://schemas.microsoft.com/office/drawing/2014/main" id="{00000000-0008-0000-0400-00007EA50000}"/>
            </a:ext>
          </a:extLst>
        </xdr:cNvPr>
        <xdr:cNvSpPr>
          <a:spLocks noChangeShapeType="1"/>
        </xdr:cNvSpPr>
      </xdr:nvSpPr>
      <xdr:spPr bwMode="auto">
        <a:xfrm flipH="1">
          <a:off x="9461500" y="21209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23</xdr:row>
      <xdr:rowOff>368300</xdr:rowOff>
    </xdr:from>
    <xdr:to>
      <xdr:col>5</xdr:col>
      <xdr:colOff>508000</xdr:colOff>
      <xdr:row>23</xdr:row>
      <xdr:rowOff>393700</xdr:rowOff>
    </xdr:to>
    <xdr:sp macro="" textlink="">
      <xdr:nvSpPr>
        <xdr:cNvPr id="42367" name="Line 11">
          <a:extLst>
            <a:ext uri="{FF2B5EF4-FFF2-40B4-BE49-F238E27FC236}">
              <a16:creationId xmlns:a16="http://schemas.microsoft.com/office/drawing/2014/main" id="{00000000-0008-0000-0400-00007FA50000}"/>
            </a:ext>
          </a:extLst>
        </xdr:cNvPr>
        <xdr:cNvSpPr>
          <a:spLocks noChangeShapeType="1"/>
        </xdr:cNvSpPr>
      </xdr:nvSpPr>
      <xdr:spPr bwMode="auto">
        <a:xfrm flipH="1">
          <a:off x="0" y="7810500"/>
          <a:ext cx="42291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114300</xdr:colOff>
      <xdr:row>23</xdr:row>
      <xdr:rowOff>317500</xdr:rowOff>
    </xdr:from>
    <xdr:to>
      <xdr:col>19</xdr:col>
      <xdr:colOff>711200</xdr:colOff>
      <xdr:row>23</xdr:row>
      <xdr:rowOff>342900</xdr:rowOff>
    </xdr:to>
    <xdr:sp macro="" textlink="">
      <xdr:nvSpPr>
        <xdr:cNvPr id="42368" name="Line 12">
          <a:extLst>
            <a:ext uri="{FF2B5EF4-FFF2-40B4-BE49-F238E27FC236}">
              <a16:creationId xmlns:a16="http://schemas.microsoft.com/office/drawing/2014/main" id="{00000000-0008-0000-0400-000080A50000}"/>
            </a:ext>
          </a:extLst>
        </xdr:cNvPr>
        <xdr:cNvSpPr>
          <a:spLocks noChangeShapeType="1"/>
        </xdr:cNvSpPr>
      </xdr:nvSpPr>
      <xdr:spPr bwMode="auto">
        <a:xfrm flipV="1">
          <a:off x="10680700" y="7810500"/>
          <a:ext cx="4191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44</xdr:row>
      <xdr:rowOff>406400</xdr:rowOff>
    </xdr:from>
    <xdr:to>
      <xdr:col>7</xdr:col>
      <xdr:colOff>381000</xdr:colOff>
      <xdr:row>44</xdr:row>
      <xdr:rowOff>406400</xdr:rowOff>
    </xdr:to>
    <xdr:sp macro="" textlink="">
      <xdr:nvSpPr>
        <xdr:cNvPr id="42369" name="Line 13">
          <a:extLst>
            <a:ext uri="{FF2B5EF4-FFF2-40B4-BE49-F238E27FC236}">
              <a16:creationId xmlns:a16="http://schemas.microsoft.com/office/drawing/2014/main" id="{00000000-0008-0000-0400-000081A50000}"/>
            </a:ext>
          </a:extLst>
        </xdr:cNvPr>
        <xdr:cNvSpPr>
          <a:spLocks noChangeShapeType="1"/>
        </xdr:cNvSpPr>
      </xdr:nvSpPr>
      <xdr:spPr bwMode="auto">
        <a:xfrm flipH="1">
          <a:off x="0" y="138557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355600</xdr:colOff>
      <xdr:row>44</xdr:row>
      <xdr:rowOff>393700</xdr:rowOff>
    </xdr:from>
    <xdr:to>
      <xdr:col>20</xdr:col>
      <xdr:colOff>12700</xdr:colOff>
      <xdr:row>44</xdr:row>
      <xdr:rowOff>393700</xdr:rowOff>
    </xdr:to>
    <xdr:sp macro="" textlink="">
      <xdr:nvSpPr>
        <xdr:cNvPr id="42370" name="Line 14">
          <a:extLst>
            <a:ext uri="{FF2B5EF4-FFF2-40B4-BE49-F238E27FC236}">
              <a16:creationId xmlns:a16="http://schemas.microsoft.com/office/drawing/2014/main" id="{00000000-0008-0000-0400-000082A50000}"/>
            </a:ext>
          </a:extLst>
        </xdr:cNvPr>
        <xdr:cNvSpPr>
          <a:spLocks noChangeShapeType="1"/>
        </xdr:cNvSpPr>
      </xdr:nvSpPr>
      <xdr:spPr bwMode="auto">
        <a:xfrm flipH="1">
          <a:off x="9474200" y="138430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65</xdr:row>
      <xdr:rowOff>368300</xdr:rowOff>
    </xdr:from>
    <xdr:to>
      <xdr:col>6</xdr:col>
      <xdr:colOff>698500</xdr:colOff>
      <xdr:row>65</xdr:row>
      <xdr:rowOff>368300</xdr:rowOff>
    </xdr:to>
    <xdr:sp macro="" textlink="">
      <xdr:nvSpPr>
        <xdr:cNvPr id="42371" name="Line 15">
          <a:extLst>
            <a:ext uri="{FF2B5EF4-FFF2-40B4-BE49-F238E27FC236}">
              <a16:creationId xmlns:a16="http://schemas.microsoft.com/office/drawing/2014/main" id="{00000000-0008-0000-0400-000083A50000}"/>
            </a:ext>
          </a:extLst>
        </xdr:cNvPr>
        <xdr:cNvSpPr>
          <a:spLocks noChangeShapeType="1"/>
        </xdr:cNvSpPr>
      </xdr:nvSpPr>
      <xdr:spPr bwMode="auto">
        <a:xfrm flipH="1">
          <a:off x="0" y="20243800"/>
          <a:ext cx="5016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50800</xdr:colOff>
      <xdr:row>65</xdr:row>
      <xdr:rowOff>368300</xdr:rowOff>
    </xdr:from>
    <xdr:to>
      <xdr:col>19</xdr:col>
      <xdr:colOff>685800</xdr:colOff>
      <xdr:row>65</xdr:row>
      <xdr:rowOff>368300</xdr:rowOff>
    </xdr:to>
    <xdr:sp macro="" textlink="">
      <xdr:nvSpPr>
        <xdr:cNvPr id="42372" name="Line 16">
          <a:extLst>
            <a:ext uri="{FF2B5EF4-FFF2-40B4-BE49-F238E27FC236}">
              <a16:creationId xmlns:a16="http://schemas.microsoft.com/office/drawing/2014/main" id="{00000000-0008-0000-0400-000084A50000}"/>
            </a:ext>
          </a:extLst>
        </xdr:cNvPr>
        <xdr:cNvSpPr>
          <a:spLocks noChangeShapeType="1"/>
        </xdr:cNvSpPr>
      </xdr:nvSpPr>
      <xdr:spPr bwMode="auto">
        <a:xfrm>
          <a:off x="9893300" y="20243800"/>
          <a:ext cx="4953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78</xdr:row>
      <xdr:rowOff>317500</xdr:rowOff>
    </xdr:from>
    <xdr:to>
      <xdr:col>6</xdr:col>
      <xdr:colOff>698500</xdr:colOff>
      <xdr:row>78</xdr:row>
      <xdr:rowOff>317500</xdr:rowOff>
    </xdr:to>
    <xdr:sp macro="" textlink="">
      <xdr:nvSpPr>
        <xdr:cNvPr id="42373" name="Line 17">
          <a:extLst>
            <a:ext uri="{FF2B5EF4-FFF2-40B4-BE49-F238E27FC236}">
              <a16:creationId xmlns:a16="http://schemas.microsoft.com/office/drawing/2014/main" id="{00000000-0008-0000-0400-000085A50000}"/>
            </a:ext>
          </a:extLst>
        </xdr:cNvPr>
        <xdr:cNvSpPr>
          <a:spLocks noChangeShapeType="1"/>
        </xdr:cNvSpPr>
      </xdr:nvSpPr>
      <xdr:spPr bwMode="auto">
        <a:xfrm flipH="1">
          <a:off x="0" y="24295100"/>
          <a:ext cx="5016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711200</xdr:colOff>
      <xdr:row>78</xdr:row>
      <xdr:rowOff>317500</xdr:rowOff>
    </xdr:from>
    <xdr:to>
      <xdr:col>19</xdr:col>
      <xdr:colOff>622300</xdr:colOff>
      <xdr:row>78</xdr:row>
      <xdr:rowOff>317500</xdr:rowOff>
    </xdr:to>
    <xdr:sp macro="" textlink="">
      <xdr:nvSpPr>
        <xdr:cNvPr id="42374" name="Line 18">
          <a:extLst>
            <a:ext uri="{FF2B5EF4-FFF2-40B4-BE49-F238E27FC236}">
              <a16:creationId xmlns:a16="http://schemas.microsoft.com/office/drawing/2014/main" id="{00000000-0008-0000-0400-000086A50000}"/>
            </a:ext>
          </a:extLst>
        </xdr:cNvPr>
        <xdr:cNvSpPr>
          <a:spLocks noChangeShapeType="1"/>
        </xdr:cNvSpPr>
      </xdr:nvSpPr>
      <xdr:spPr bwMode="auto">
        <a:xfrm>
          <a:off x="9829800" y="24295100"/>
          <a:ext cx="4953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0</xdr:col>
      <xdr:colOff>0</xdr:colOff>
      <xdr:row>0</xdr:row>
      <xdr:rowOff>67735</xdr:rowOff>
    </xdr:from>
    <xdr:to>
      <xdr:col>2</xdr:col>
      <xdr:colOff>191325</xdr:colOff>
      <xdr:row>1</xdr:row>
      <xdr:rowOff>640794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0" y="67735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18</xdr:col>
      <xdr:colOff>203198</xdr:colOff>
      <xdr:row>0</xdr:row>
      <xdr:rowOff>84665</xdr:rowOff>
    </xdr:from>
    <xdr:to>
      <xdr:col>19</xdr:col>
      <xdr:colOff>618416</xdr:colOff>
      <xdr:row>1</xdr:row>
      <xdr:rowOff>684462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5646" b="6838"/>
        <a:stretch/>
      </xdr:blipFill>
      <xdr:spPr>
        <a:xfrm>
          <a:off x="13428131" y="84665"/>
          <a:ext cx="1420635" cy="1243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127000</xdr:rowOff>
    </xdr:from>
    <xdr:to>
      <xdr:col>1</xdr:col>
      <xdr:colOff>881448</xdr:colOff>
      <xdr:row>2</xdr:row>
      <xdr:rowOff>396875</xdr:rowOff>
    </xdr:to>
    <xdr:pic>
      <xdr:nvPicPr>
        <xdr:cNvPr id="40968" name="Picture 8">
          <a:extLst>
            <a:ext uri="{FF2B5EF4-FFF2-40B4-BE49-F238E27FC236}">
              <a16:creationId xmlns:a16="http://schemas.microsoft.com/office/drawing/2014/main" id="{00000000-0008-0000-0500-000008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7000"/>
          <a:ext cx="1833948" cy="1158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12700</xdr:rowOff>
    </xdr:from>
    <xdr:to>
      <xdr:col>8</xdr:col>
      <xdr:colOff>79375</xdr:colOff>
      <xdr:row>2</xdr:row>
      <xdr:rowOff>469900</xdr:rowOff>
    </xdr:to>
    <xdr:pic>
      <xdr:nvPicPr>
        <xdr:cNvPr id="41002" name="Image 1">
          <a:extLst>
            <a:ext uri="{FF2B5EF4-FFF2-40B4-BE49-F238E27FC236}">
              <a16:creationId xmlns:a16="http://schemas.microsoft.com/office/drawing/2014/main" id="{00000000-0008-0000-0500-00002AA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1270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C0000"/>
        </a:solidFill>
        <a:ln w="19050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C0000"/>
        </a:solidFill>
        <a:ln w="19050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zoomScaleSheetLayoutView="100" workbookViewId="0">
      <selection activeCell="B8" sqref="B8"/>
    </sheetView>
  </sheetViews>
  <sheetFormatPr baseColWidth="10" defaultColWidth="10.625" defaultRowHeight="12.75" x14ac:dyDescent="0.2"/>
  <cols>
    <col min="1" max="1" width="16.5" style="109" bestFit="1" customWidth="1"/>
    <col min="2" max="2" width="29.625" style="109" customWidth="1"/>
    <col min="3" max="3" width="30.875" style="109" customWidth="1"/>
    <col min="4" max="16384" width="10.625" style="109"/>
  </cols>
  <sheetData>
    <row r="1" spans="1:3" ht="96.95" customHeight="1" x14ac:dyDescent="0.2">
      <c r="A1" s="184" t="s">
        <v>3</v>
      </c>
      <c r="B1" s="185"/>
      <c r="C1" s="185"/>
    </row>
    <row r="2" spans="1:3" ht="24.95" customHeight="1" x14ac:dyDescent="0.2">
      <c r="A2" s="186" t="s">
        <v>18</v>
      </c>
      <c r="B2" s="186"/>
      <c r="C2" s="186"/>
    </row>
    <row r="3" spans="1:3" ht="24.95" customHeight="1" x14ac:dyDescent="0.2">
      <c r="A3" s="189" t="s">
        <v>29</v>
      </c>
      <c r="B3" s="189"/>
      <c r="C3" s="189"/>
    </row>
    <row r="4" spans="1:3" ht="24.95" customHeight="1" x14ac:dyDescent="0.2">
      <c r="A4" s="110" t="s">
        <v>5</v>
      </c>
      <c r="B4" s="61">
        <v>43079</v>
      </c>
      <c r="C4" s="111"/>
    </row>
    <row r="5" spans="1:3" ht="24.95" customHeight="1" x14ac:dyDescent="0.2">
      <c r="A5" s="110" t="s">
        <v>46</v>
      </c>
      <c r="B5" s="10" t="s">
        <v>64</v>
      </c>
      <c r="C5" s="111"/>
    </row>
    <row r="6" spans="1:3" ht="24.95" customHeight="1" x14ac:dyDescent="0.2">
      <c r="A6" s="110" t="s">
        <v>49</v>
      </c>
      <c r="B6" s="52" t="s">
        <v>65</v>
      </c>
      <c r="C6" s="111"/>
    </row>
    <row r="7" spans="1:3" ht="24.95" customHeight="1" x14ac:dyDescent="0.2">
      <c r="A7" s="110" t="s">
        <v>0</v>
      </c>
      <c r="B7" s="10" t="s">
        <v>70</v>
      </c>
      <c r="C7" s="111" t="s">
        <v>4</v>
      </c>
    </row>
    <row r="8" spans="1:3" ht="24.95" customHeight="1" x14ac:dyDescent="0.2">
      <c r="A8" s="110" t="s">
        <v>47</v>
      </c>
      <c r="B8" s="15">
        <v>2</v>
      </c>
      <c r="C8" s="111"/>
    </row>
    <row r="9" spans="1:3" ht="24.95" customHeight="1" x14ac:dyDescent="0.2">
      <c r="A9" s="9" t="s">
        <v>31</v>
      </c>
      <c r="B9" s="51" t="s">
        <v>66</v>
      </c>
      <c r="C9" s="111" t="s">
        <v>50</v>
      </c>
    </row>
    <row r="10" spans="1:3" ht="24.95" customHeight="1" x14ac:dyDescent="0.2">
      <c r="A10" s="112"/>
      <c r="B10" s="112"/>
      <c r="C10" s="113"/>
    </row>
    <row r="11" spans="1:3" ht="24.95" customHeight="1" x14ac:dyDescent="0.2">
      <c r="A11" s="189" t="s">
        <v>30</v>
      </c>
      <c r="B11" s="189"/>
      <c r="C11" s="189"/>
    </row>
    <row r="12" spans="1:3" ht="30" customHeight="1" x14ac:dyDescent="0.2">
      <c r="A12" s="110" t="s">
        <v>48</v>
      </c>
      <c r="B12" s="14" t="s">
        <v>67</v>
      </c>
      <c r="C12" s="114"/>
    </row>
    <row r="13" spans="1:3" ht="30" customHeight="1" x14ac:dyDescent="0.2">
      <c r="A13" s="9" t="s">
        <v>26</v>
      </c>
      <c r="B13" s="13" t="s">
        <v>68</v>
      </c>
      <c r="C13" s="111"/>
    </row>
    <row r="14" spans="1:3" ht="30" customHeight="1" x14ac:dyDescent="0.2">
      <c r="A14" s="9" t="s">
        <v>27</v>
      </c>
      <c r="B14" s="16" t="s">
        <v>69</v>
      </c>
      <c r="C14" s="115"/>
    </row>
    <row r="16" spans="1:3" ht="92.1" customHeight="1" x14ac:dyDescent="0.2">
      <c r="A16" s="187" t="s">
        <v>10</v>
      </c>
      <c r="B16" s="187"/>
      <c r="C16" s="187"/>
    </row>
    <row r="17" spans="1:3" ht="15" customHeight="1" x14ac:dyDescent="0.2">
      <c r="A17" s="190" t="s">
        <v>13</v>
      </c>
      <c r="B17" s="190"/>
      <c r="C17" s="116"/>
    </row>
    <row r="18" spans="1:3" ht="15" customHeight="1" x14ac:dyDescent="0.2">
      <c r="A18" s="191" t="s">
        <v>28</v>
      </c>
      <c r="B18" s="190"/>
      <c r="C18" s="11"/>
    </row>
    <row r="19" spans="1:3" ht="15" customHeight="1" x14ac:dyDescent="0.2">
      <c r="A19" s="188" t="s">
        <v>14</v>
      </c>
      <c r="B19" s="188"/>
      <c r="C19" s="12"/>
    </row>
  </sheetData>
  <sheetProtection algorithmName="SHA-512" hashValue="qf8cAbOFcbOgIia7WhHDnv3Ojq60jzssBI6JCLhjnFI0MVlaqTEfAzVIriHEEVzfJHRojjzRFmN5r0WxP2g0Gw==" saltValue="Qwf0/ivQHvsa8QuaFe6wFw==" spinCount="100000" sheet="1" objects="1" scenarios="1" formatColumns="0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6"/>
  <hyperlinks>
    <hyperlink ref="A18" r:id="rId1" xr:uid="{00000000-0004-0000-0000-000000000000}"/>
  </hyperlinks>
  <printOptions horizontalCentered="1" verticalCentered="1"/>
  <pageMargins left="0" right="0" top="0" bottom="0" header="0.19685039370078741" footer="0.19685039370078741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pageSetUpPr fitToPage="1"/>
  </sheetPr>
  <dimension ref="A1:AA45"/>
  <sheetViews>
    <sheetView showGridLines="0" zoomScale="50" zoomScaleNormal="50" zoomScaleSheetLayoutView="40" zoomScalePageLayoutView="50" workbookViewId="0">
      <pane xSplit="4" ySplit="4" topLeftCell="M5" activePane="bottomRight" state="frozenSplit"/>
      <selection pane="topRight" activeCell="E1" sqref="E1"/>
      <selection pane="bottomLeft" activeCell="A3" sqref="A3"/>
      <selection pane="bottomRight" activeCell="C7" sqref="C7"/>
    </sheetView>
  </sheetViews>
  <sheetFormatPr baseColWidth="10" defaultColWidth="10.625" defaultRowHeight="40.5" outlineLevelCol="1" x14ac:dyDescent="0.2"/>
  <cols>
    <col min="1" max="1" width="15.875" style="3" customWidth="1"/>
    <col min="2" max="2" width="22.375" style="63" customWidth="1" outlineLevel="1"/>
    <col min="3" max="3" width="54" style="6" bestFit="1" customWidth="1"/>
    <col min="4" max="4" width="18.625" style="6" bestFit="1" customWidth="1"/>
    <col min="5" max="5" width="50.625" style="6" customWidth="1"/>
    <col min="6" max="8" width="14.625" style="7" customWidth="1"/>
    <col min="9" max="9" width="10.875" style="7" hidden="1" customWidth="1"/>
    <col min="10" max="10" width="50.5" style="6" customWidth="1"/>
    <col min="11" max="11" width="14.875" style="8" customWidth="1"/>
    <col min="12" max="12" width="14.875" style="7" customWidth="1"/>
    <col min="13" max="13" width="14.5" style="7" customWidth="1"/>
    <col min="14" max="14" width="10.5" style="7" hidden="1" customWidth="1"/>
    <col min="15" max="15" width="50.625" style="6" customWidth="1"/>
    <col min="16" max="16" width="14.875" style="7" customWidth="1"/>
    <col min="17" max="17" width="14.875" style="8" customWidth="1"/>
    <col min="18" max="18" width="14.5" style="7" customWidth="1"/>
    <col min="19" max="19" width="10.625" style="7" hidden="1" customWidth="1"/>
    <col min="20" max="20" width="16.625" style="7" bestFit="1" customWidth="1"/>
    <col min="21" max="21" width="8.5" style="2" hidden="1" customWidth="1"/>
    <col min="22" max="22" width="4.5" style="3" customWidth="1"/>
    <col min="23" max="23" width="33.5" style="63" hidden="1" customWidth="1" outlineLevel="1"/>
    <col min="24" max="24" width="4.5" style="3" customWidth="1" collapsed="1"/>
    <col min="25" max="25" width="6.875" style="3" customWidth="1"/>
    <col min="26" max="26" width="3.125" style="3" customWidth="1"/>
    <col min="27" max="27" width="1" style="5" customWidth="1"/>
    <col min="28" max="28" width="9.5" style="3" customWidth="1"/>
    <col min="29" max="29" width="9.625" style="3" customWidth="1"/>
    <col min="30" max="16384" width="10.625" style="3"/>
  </cols>
  <sheetData>
    <row r="1" spans="1:27" ht="38.1" customHeight="1" x14ac:dyDescent="0.2">
      <c r="A1" s="192" t="str">
        <f>CONCATENATE(INFO!B7," - ",INFO!B9)</f>
        <v>Pistolet - Ile de France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</row>
    <row r="2" spans="1:27" ht="39" customHeight="1" thickBot="1" x14ac:dyDescent="0.25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</row>
    <row r="3" spans="1:27" ht="30" customHeight="1" thickTop="1" x14ac:dyDescent="0.2">
      <c r="A3" s="204" t="s">
        <v>11</v>
      </c>
      <c r="B3" s="199" t="s">
        <v>44</v>
      </c>
      <c r="C3" s="206" t="s">
        <v>7</v>
      </c>
      <c r="D3" s="208" t="s">
        <v>38</v>
      </c>
      <c r="E3" s="123" t="s">
        <v>24</v>
      </c>
      <c r="F3" s="194" t="s">
        <v>42</v>
      </c>
      <c r="G3" s="194"/>
      <c r="H3" s="194" t="s">
        <v>43</v>
      </c>
      <c r="I3" s="201" t="s">
        <v>51</v>
      </c>
      <c r="J3" s="123" t="s">
        <v>24</v>
      </c>
      <c r="K3" s="194" t="s">
        <v>42</v>
      </c>
      <c r="L3" s="194"/>
      <c r="M3" s="194" t="s">
        <v>43</v>
      </c>
      <c r="N3" s="201" t="s">
        <v>51</v>
      </c>
      <c r="O3" s="123" t="s">
        <v>24</v>
      </c>
      <c r="P3" s="194" t="s">
        <v>42</v>
      </c>
      <c r="Q3" s="194"/>
      <c r="R3" s="194" t="s">
        <v>43</v>
      </c>
      <c r="S3" s="201" t="s">
        <v>51</v>
      </c>
      <c r="T3" s="195" t="s">
        <v>8</v>
      </c>
      <c r="U3" s="197" t="s">
        <v>9</v>
      </c>
      <c r="V3" s="21"/>
      <c r="AA3" s="3"/>
    </row>
    <row r="4" spans="1:27" ht="44.1" customHeight="1" thickBot="1" x14ac:dyDescent="0.25">
      <c r="A4" s="205"/>
      <c r="B4" s="200"/>
      <c r="C4" s="207"/>
      <c r="D4" s="209"/>
      <c r="E4" s="124" t="s">
        <v>36</v>
      </c>
      <c r="F4" s="125">
        <v>1</v>
      </c>
      <c r="G4" s="125">
        <v>2</v>
      </c>
      <c r="H4" s="203"/>
      <c r="I4" s="202"/>
      <c r="J4" s="124" t="s">
        <v>35</v>
      </c>
      <c r="K4" s="125">
        <v>1</v>
      </c>
      <c r="L4" s="125">
        <v>2</v>
      </c>
      <c r="M4" s="203"/>
      <c r="N4" s="202"/>
      <c r="O4" s="124" t="s">
        <v>37</v>
      </c>
      <c r="P4" s="125">
        <v>1</v>
      </c>
      <c r="Q4" s="125">
        <v>2</v>
      </c>
      <c r="R4" s="203"/>
      <c r="S4" s="202"/>
      <c r="T4" s="196"/>
      <c r="U4" s="198"/>
      <c r="AA4" s="3"/>
    </row>
    <row r="5" spans="1:27" s="4" customFormat="1" ht="47.1" customHeight="1" thickTop="1" x14ac:dyDescent="0.2">
      <c r="A5" s="117">
        <v>1</v>
      </c>
      <c r="B5" s="179">
        <f>RANK(W5,W$5:W$44,0)</f>
        <v>1</v>
      </c>
      <c r="C5" s="71" t="s">
        <v>71</v>
      </c>
      <c r="D5" s="72" t="s">
        <v>72</v>
      </c>
      <c r="E5" s="73" t="s">
        <v>76</v>
      </c>
      <c r="F5" s="140">
        <v>55</v>
      </c>
      <c r="G5" s="140">
        <v>59</v>
      </c>
      <c r="H5" s="141">
        <f t="shared" ref="H5:H44" si="0">SUM(F5:G5)</f>
        <v>114</v>
      </c>
      <c r="I5" s="74"/>
      <c r="J5" s="73" t="s">
        <v>77</v>
      </c>
      <c r="K5" s="140">
        <v>72</v>
      </c>
      <c r="L5" s="140">
        <v>68</v>
      </c>
      <c r="M5" s="141">
        <f t="shared" ref="M5:M44" si="1">SUM(K5:L5)</f>
        <v>140</v>
      </c>
      <c r="N5" s="74"/>
      <c r="O5" s="73" t="s">
        <v>78</v>
      </c>
      <c r="P5" s="140">
        <v>80</v>
      </c>
      <c r="Q5" s="140">
        <v>86</v>
      </c>
      <c r="R5" s="141">
        <f t="shared" ref="R5:R44" si="2">SUM(P5:Q5)</f>
        <v>166</v>
      </c>
      <c r="S5" s="74"/>
      <c r="T5" s="146">
        <f t="shared" ref="T5:T44" si="3">SUM(H5+M5+R5)</f>
        <v>420</v>
      </c>
      <c r="U5" s="120">
        <f>I5+N5+S5</f>
        <v>0</v>
      </c>
      <c r="W5" s="172">
        <f>H5+M5+R5+(0.000001*(I5+N5+S5))+(0.000000001*(G5+L5+Q5))</f>
        <v>420.00000021300002</v>
      </c>
    </row>
    <row r="6" spans="1:27" s="4" customFormat="1" ht="47.1" customHeight="1" x14ac:dyDescent="0.2">
      <c r="A6" s="118">
        <v>2</v>
      </c>
      <c r="B6" s="180">
        <f t="shared" ref="B6:B44" si="4">RANK(W6,W$5:W$44,0)</f>
        <v>2</v>
      </c>
      <c r="C6" s="62" t="s">
        <v>74</v>
      </c>
      <c r="D6" s="64" t="s">
        <v>79</v>
      </c>
      <c r="E6" s="73" t="s">
        <v>80</v>
      </c>
      <c r="F6" s="142">
        <v>56</v>
      </c>
      <c r="G6" s="142">
        <v>65</v>
      </c>
      <c r="H6" s="143">
        <f t="shared" si="0"/>
        <v>121</v>
      </c>
      <c r="I6" s="68"/>
      <c r="J6" s="67" t="s">
        <v>73</v>
      </c>
      <c r="K6" s="142">
        <v>59</v>
      </c>
      <c r="L6" s="142">
        <v>50</v>
      </c>
      <c r="M6" s="143">
        <f t="shared" si="1"/>
        <v>109</v>
      </c>
      <c r="N6" s="68"/>
      <c r="O6" s="67" t="s">
        <v>75</v>
      </c>
      <c r="P6" s="142">
        <v>72</v>
      </c>
      <c r="Q6" s="142">
        <v>44</v>
      </c>
      <c r="R6" s="143">
        <f t="shared" si="2"/>
        <v>116</v>
      </c>
      <c r="S6" s="68"/>
      <c r="T6" s="147">
        <f t="shared" si="3"/>
        <v>346</v>
      </c>
      <c r="U6" s="121">
        <f t="shared" ref="U6:U44" si="5">I6+N6+S6</f>
        <v>0</v>
      </c>
      <c r="W6" s="172">
        <f t="shared" ref="W6:W44" si="6">H6+M6+R6+(0.000001*(I6+N6+S6))+(0.000000001*(G6+L6+Q6))</f>
        <v>346.00000015900002</v>
      </c>
    </row>
    <row r="7" spans="1:27" s="4" customFormat="1" ht="47.1" customHeight="1" x14ac:dyDescent="0.2">
      <c r="A7" s="118">
        <v>3</v>
      </c>
      <c r="B7" s="180">
        <f t="shared" si="4"/>
        <v>3</v>
      </c>
      <c r="C7" s="62"/>
      <c r="D7" s="64"/>
      <c r="E7" s="67"/>
      <c r="F7" s="142"/>
      <c r="G7" s="142"/>
      <c r="H7" s="143">
        <f t="shared" si="0"/>
        <v>0</v>
      </c>
      <c r="I7" s="68"/>
      <c r="J7" s="67"/>
      <c r="K7" s="142"/>
      <c r="L7" s="142"/>
      <c r="M7" s="143">
        <f t="shared" si="1"/>
        <v>0</v>
      </c>
      <c r="N7" s="68"/>
      <c r="O7" s="67"/>
      <c r="P7" s="142"/>
      <c r="Q7" s="142"/>
      <c r="R7" s="143">
        <f t="shared" si="2"/>
        <v>0</v>
      </c>
      <c r="S7" s="68"/>
      <c r="T7" s="147">
        <f t="shared" si="3"/>
        <v>0</v>
      </c>
      <c r="U7" s="121">
        <f t="shared" si="5"/>
        <v>0</v>
      </c>
      <c r="W7" s="172">
        <f t="shared" si="6"/>
        <v>0</v>
      </c>
    </row>
    <row r="8" spans="1:27" s="4" customFormat="1" ht="47.1" customHeight="1" x14ac:dyDescent="0.2">
      <c r="A8" s="118">
        <v>4</v>
      </c>
      <c r="B8" s="180">
        <f t="shared" si="4"/>
        <v>3</v>
      </c>
      <c r="C8" s="62"/>
      <c r="D8" s="64"/>
      <c r="E8" s="67"/>
      <c r="F8" s="142"/>
      <c r="G8" s="142"/>
      <c r="H8" s="143">
        <f t="shared" si="0"/>
        <v>0</v>
      </c>
      <c r="I8" s="68"/>
      <c r="J8" s="67"/>
      <c r="K8" s="142"/>
      <c r="L8" s="142"/>
      <c r="M8" s="143">
        <f t="shared" si="1"/>
        <v>0</v>
      </c>
      <c r="N8" s="68"/>
      <c r="O8" s="67"/>
      <c r="P8" s="142"/>
      <c r="Q8" s="142"/>
      <c r="R8" s="143">
        <f t="shared" si="2"/>
        <v>0</v>
      </c>
      <c r="S8" s="68"/>
      <c r="T8" s="147">
        <f t="shared" si="3"/>
        <v>0</v>
      </c>
      <c r="U8" s="121">
        <f t="shared" si="5"/>
        <v>0</v>
      </c>
      <c r="W8" s="172">
        <f t="shared" si="6"/>
        <v>0</v>
      </c>
    </row>
    <row r="9" spans="1:27" s="4" customFormat="1" ht="47.1" customHeight="1" x14ac:dyDescent="0.2">
      <c r="A9" s="118">
        <v>5</v>
      </c>
      <c r="B9" s="180">
        <f t="shared" si="4"/>
        <v>3</v>
      </c>
      <c r="C9" s="62"/>
      <c r="D9" s="64"/>
      <c r="E9" s="67"/>
      <c r="F9" s="142"/>
      <c r="G9" s="142"/>
      <c r="H9" s="143">
        <f t="shared" si="0"/>
        <v>0</v>
      </c>
      <c r="I9" s="68"/>
      <c r="J9" s="67"/>
      <c r="K9" s="142"/>
      <c r="L9" s="142"/>
      <c r="M9" s="143">
        <f t="shared" si="1"/>
        <v>0</v>
      </c>
      <c r="N9" s="68"/>
      <c r="O9" s="67"/>
      <c r="P9" s="142"/>
      <c r="Q9" s="142"/>
      <c r="R9" s="143">
        <f t="shared" si="2"/>
        <v>0</v>
      </c>
      <c r="S9" s="68"/>
      <c r="T9" s="147">
        <f t="shared" si="3"/>
        <v>0</v>
      </c>
      <c r="U9" s="121">
        <f t="shared" si="5"/>
        <v>0</v>
      </c>
      <c r="W9" s="172">
        <f t="shared" si="6"/>
        <v>0</v>
      </c>
    </row>
    <row r="10" spans="1:27" s="4" customFormat="1" ht="47.1" customHeight="1" x14ac:dyDescent="0.2">
      <c r="A10" s="118">
        <v>6</v>
      </c>
      <c r="B10" s="180">
        <f t="shared" si="4"/>
        <v>3</v>
      </c>
      <c r="C10" s="62"/>
      <c r="D10" s="64"/>
      <c r="E10" s="67"/>
      <c r="F10" s="142"/>
      <c r="G10" s="142"/>
      <c r="H10" s="143">
        <f t="shared" si="0"/>
        <v>0</v>
      </c>
      <c r="I10" s="68"/>
      <c r="J10" s="67"/>
      <c r="K10" s="142"/>
      <c r="L10" s="142"/>
      <c r="M10" s="143">
        <f t="shared" si="1"/>
        <v>0</v>
      </c>
      <c r="N10" s="68"/>
      <c r="O10" s="67"/>
      <c r="P10" s="142"/>
      <c r="Q10" s="142"/>
      <c r="R10" s="143">
        <f t="shared" si="2"/>
        <v>0</v>
      </c>
      <c r="S10" s="68"/>
      <c r="T10" s="147">
        <f t="shared" si="3"/>
        <v>0</v>
      </c>
      <c r="U10" s="121">
        <f t="shared" si="5"/>
        <v>0</v>
      </c>
      <c r="W10" s="172">
        <f t="shared" si="6"/>
        <v>0</v>
      </c>
    </row>
    <row r="11" spans="1:27" s="4" customFormat="1" ht="47.1" customHeight="1" x14ac:dyDescent="0.2">
      <c r="A11" s="118">
        <v>7</v>
      </c>
      <c r="B11" s="180">
        <f t="shared" si="4"/>
        <v>3</v>
      </c>
      <c r="C11" s="62"/>
      <c r="D11" s="64"/>
      <c r="E11" s="67"/>
      <c r="F11" s="142"/>
      <c r="G11" s="142"/>
      <c r="H11" s="143">
        <f t="shared" si="0"/>
        <v>0</v>
      </c>
      <c r="I11" s="68"/>
      <c r="J11" s="67"/>
      <c r="K11" s="142"/>
      <c r="L11" s="142"/>
      <c r="M11" s="143">
        <f t="shared" si="1"/>
        <v>0</v>
      </c>
      <c r="N11" s="68"/>
      <c r="O11" s="67"/>
      <c r="P11" s="142"/>
      <c r="Q11" s="142"/>
      <c r="R11" s="143">
        <f t="shared" si="2"/>
        <v>0</v>
      </c>
      <c r="S11" s="68"/>
      <c r="T11" s="147">
        <f t="shared" si="3"/>
        <v>0</v>
      </c>
      <c r="U11" s="121">
        <f t="shared" si="5"/>
        <v>0</v>
      </c>
      <c r="W11" s="172">
        <f t="shared" si="6"/>
        <v>0</v>
      </c>
    </row>
    <row r="12" spans="1:27" s="4" customFormat="1" ht="47.1" customHeight="1" x14ac:dyDescent="0.2">
      <c r="A12" s="118">
        <v>8</v>
      </c>
      <c r="B12" s="180">
        <f t="shared" si="4"/>
        <v>3</v>
      </c>
      <c r="C12" s="62"/>
      <c r="D12" s="64"/>
      <c r="E12" s="67"/>
      <c r="F12" s="142"/>
      <c r="G12" s="142"/>
      <c r="H12" s="143">
        <f t="shared" si="0"/>
        <v>0</v>
      </c>
      <c r="I12" s="68"/>
      <c r="J12" s="67"/>
      <c r="K12" s="142"/>
      <c r="L12" s="142"/>
      <c r="M12" s="143">
        <f t="shared" si="1"/>
        <v>0</v>
      </c>
      <c r="N12" s="68"/>
      <c r="O12" s="67"/>
      <c r="P12" s="142"/>
      <c r="Q12" s="142"/>
      <c r="R12" s="143">
        <f t="shared" si="2"/>
        <v>0</v>
      </c>
      <c r="S12" s="68"/>
      <c r="T12" s="147">
        <f t="shared" si="3"/>
        <v>0</v>
      </c>
      <c r="U12" s="121">
        <f t="shared" si="5"/>
        <v>0</v>
      </c>
      <c r="W12" s="172">
        <f t="shared" si="6"/>
        <v>0</v>
      </c>
    </row>
    <row r="13" spans="1:27" s="4" customFormat="1" ht="47.1" customHeight="1" x14ac:dyDescent="0.2">
      <c r="A13" s="118">
        <v>9</v>
      </c>
      <c r="B13" s="180">
        <f t="shared" si="4"/>
        <v>3</v>
      </c>
      <c r="C13" s="62"/>
      <c r="D13" s="64"/>
      <c r="E13" s="67"/>
      <c r="F13" s="142"/>
      <c r="G13" s="142"/>
      <c r="H13" s="143">
        <f t="shared" si="0"/>
        <v>0</v>
      </c>
      <c r="I13" s="68"/>
      <c r="J13" s="67"/>
      <c r="K13" s="142"/>
      <c r="L13" s="142"/>
      <c r="M13" s="143">
        <f t="shared" si="1"/>
        <v>0</v>
      </c>
      <c r="N13" s="68"/>
      <c r="O13" s="67"/>
      <c r="P13" s="142"/>
      <c r="Q13" s="142"/>
      <c r="R13" s="143">
        <f t="shared" si="2"/>
        <v>0</v>
      </c>
      <c r="S13" s="68"/>
      <c r="T13" s="147">
        <f t="shared" si="3"/>
        <v>0</v>
      </c>
      <c r="U13" s="121">
        <f t="shared" si="5"/>
        <v>0</v>
      </c>
      <c r="W13" s="172">
        <f t="shared" si="6"/>
        <v>0</v>
      </c>
    </row>
    <row r="14" spans="1:27" s="4" customFormat="1" ht="47.1" customHeight="1" x14ac:dyDescent="0.2">
      <c r="A14" s="118">
        <v>10</v>
      </c>
      <c r="B14" s="180">
        <f t="shared" si="4"/>
        <v>3</v>
      </c>
      <c r="C14" s="62"/>
      <c r="D14" s="64"/>
      <c r="E14" s="67"/>
      <c r="F14" s="142"/>
      <c r="G14" s="142"/>
      <c r="H14" s="143">
        <f t="shared" si="0"/>
        <v>0</v>
      </c>
      <c r="I14" s="68"/>
      <c r="J14" s="67"/>
      <c r="K14" s="142"/>
      <c r="L14" s="142"/>
      <c r="M14" s="143">
        <f t="shared" si="1"/>
        <v>0</v>
      </c>
      <c r="N14" s="68"/>
      <c r="O14" s="67"/>
      <c r="P14" s="142"/>
      <c r="Q14" s="142"/>
      <c r="R14" s="143">
        <f t="shared" si="2"/>
        <v>0</v>
      </c>
      <c r="S14" s="68"/>
      <c r="T14" s="147">
        <f t="shared" si="3"/>
        <v>0</v>
      </c>
      <c r="U14" s="121">
        <f t="shared" si="5"/>
        <v>0</v>
      </c>
      <c r="W14" s="172">
        <f t="shared" si="6"/>
        <v>0</v>
      </c>
    </row>
    <row r="15" spans="1:27" s="4" customFormat="1" ht="47.1" customHeight="1" x14ac:dyDescent="0.2">
      <c r="A15" s="118">
        <v>11</v>
      </c>
      <c r="B15" s="180">
        <f t="shared" si="4"/>
        <v>3</v>
      </c>
      <c r="C15" s="62"/>
      <c r="D15" s="64"/>
      <c r="E15" s="67"/>
      <c r="F15" s="142"/>
      <c r="G15" s="142"/>
      <c r="H15" s="143">
        <f t="shared" si="0"/>
        <v>0</v>
      </c>
      <c r="I15" s="68"/>
      <c r="J15" s="67"/>
      <c r="K15" s="142"/>
      <c r="L15" s="142"/>
      <c r="M15" s="143">
        <f t="shared" si="1"/>
        <v>0</v>
      </c>
      <c r="N15" s="68"/>
      <c r="O15" s="67"/>
      <c r="P15" s="142"/>
      <c r="Q15" s="142"/>
      <c r="R15" s="143">
        <f t="shared" si="2"/>
        <v>0</v>
      </c>
      <c r="S15" s="68"/>
      <c r="T15" s="147">
        <f t="shared" si="3"/>
        <v>0</v>
      </c>
      <c r="U15" s="121">
        <f t="shared" si="5"/>
        <v>0</v>
      </c>
      <c r="W15" s="172">
        <f t="shared" si="6"/>
        <v>0</v>
      </c>
    </row>
    <row r="16" spans="1:27" s="4" customFormat="1" ht="47.1" customHeight="1" x14ac:dyDescent="0.2">
      <c r="A16" s="118">
        <v>12</v>
      </c>
      <c r="B16" s="180">
        <f t="shared" si="4"/>
        <v>3</v>
      </c>
      <c r="C16" s="62"/>
      <c r="D16" s="64"/>
      <c r="E16" s="67"/>
      <c r="F16" s="142"/>
      <c r="G16" s="142"/>
      <c r="H16" s="143">
        <f t="shared" si="0"/>
        <v>0</v>
      </c>
      <c r="I16" s="68"/>
      <c r="J16" s="67"/>
      <c r="K16" s="142"/>
      <c r="L16" s="142"/>
      <c r="M16" s="143">
        <f t="shared" si="1"/>
        <v>0</v>
      </c>
      <c r="N16" s="68"/>
      <c r="O16" s="67"/>
      <c r="P16" s="142"/>
      <c r="Q16" s="142"/>
      <c r="R16" s="143">
        <f t="shared" si="2"/>
        <v>0</v>
      </c>
      <c r="S16" s="68"/>
      <c r="T16" s="147">
        <f t="shared" si="3"/>
        <v>0</v>
      </c>
      <c r="U16" s="121">
        <f t="shared" si="5"/>
        <v>0</v>
      </c>
      <c r="W16" s="172">
        <f t="shared" si="6"/>
        <v>0</v>
      </c>
    </row>
    <row r="17" spans="1:23" s="4" customFormat="1" ht="47.1" customHeight="1" x14ac:dyDescent="0.2">
      <c r="A17" s="118">
        <v>13</v>
      </c>
      <c r="B17" s="180">
        <f t="shared" si="4"/>
        <v>3</v>
      </c>
      <c r="C17" s="62"/>
      <c r="D17" s="64"/>
      <c r="E17" s="67"/>
      <c r="F17" s="142"/>
      <c r="G17" s="142"/>
      <c r="H17" s="143">
        <f t="shared" si="0"/>
        <v>0</v>
      </c>
      <c r="I17" s="68"/>
      <c r="J17" s="67"/>
      <c r="K17" s="142"/>
      <c r="L17" s="142"/>
      <c r="M17" s="143">
        <f t="shared" si="1"/>
        <v>0</v>
      </c>
      <c r="N17" s="68"/>
      <c r="O17" s="67"/>
      <c r="P17" s="142"/>
      <c r="Q17" s="142"/>
      <c r="R17" s="143">
        <f t="shared" si="2"/>
        <v>0</v>
      </c>
      <c r="S17" s="68"/>
      <c r="T17" s="147">
        <f t="shared" si="3"/>
        <v>0</v>
      </c>
      <c r="U17" s="121">
        <f t="shared" si="5"/>
        <v>0</v>
      </c>
      <c r="W17" s="172">
        <f t="shared" si="6"/>
        <v>0</v>
      </c>
    </row>
    <row r="18" spans="1:23" s="4" customFormat="1" ht="47.1" customHeight="1" x14ac:dyDescent="0.2">
      <c r="A18" s="118">
        <v>14</v>
      </c>
      <c r="B18" s="180">
        <f t="shared" si="4"/>
        <v>3</v>
      </c>
      <c r="C18" s="62"/>
      <c r="D18" s="64"/>
      <c r="E18" s="67"/>
      <c r="F18" s="142"/>
      <c r="G18" s="142"/>
      <c r="H18" s="143">
        <f t="shared" si="0"/>
        <v>0</v>
      </c>
      <c r="I18" s="68"/>
      <c r="J18" s="67"/>
      <c r="K18" s="142"/>
      <c r="L18" s="142"/>
      <c r="M18" s="143">
        <f t="shared" si="1"/>
        <v>0</v>
      </c>
      <c r="N18" s="68"/>
      <c r="O18" s="67"/>
      <c r="P18" s="142"/>
      <c r="Q18" s="142"/>
      <c r="R18" s="143">
        <f t="shared" si="2"/>
        <v>0</v>
      </c>
      <c r="S18" s="68"/>
      <c r="T18" s="147">
        <f t="shared" si="3"/>
        <v>0</v>
      </c>
      <c r="U18" s="121">
        <f t="shared" si="5"/>
        <v>0</v>
      </c>
      <c r="W18" s="172">
        <f t="shared" si="6"/>
        <v>0</v>
      </c>
    </row>
    <row r="19" spans="1:23" s="4" customFormat="1" ht="47.1" customHeight="1" x14ac:dyDescent="0.2">
      <c r="A19" s="118">
        <v>15</v>
      </c>
      <c r="B19" s="180">
        <f t="shared" si="4"/>
        <v>3</v>
      </c>
      <c r="C19" s="62"/>
      <c r="D19" s="64"/>
      <c r="E19" s="67"/>
      <c r="F19" s="142"/>
      <c r="G19" s="142"/>
      <c r="H19" s="143">
        <f t="shared" si="0"/>
        <v>0</v>
      </c>
      <c r="I19" s="68"/>
      <c r="J19" s="67"/>
      <c r="K19" s="142"/>
      <c r="L19" s="142"/>
      <c r="M19" s="143">
        <f t="shared" si="1"/>
        <v>0</v>
      </c>
      <c r="N19" s="68"/>
      <c r="O19" s="67"/>
      <c r="P19" s="142"/>
      <c r="Q19" s="142"/>
      <c r="R19" s="143">
        <f t="shared" si="2"/>
        <v>0</v>
      </c>
      <c r="S19" s="68"/>
      <c r="T19" s="147">
        <f t="shared" si="3"/>
        <v>0</v>
      </c>
      <c r="U19" s="121">
        <f t="shared" si="5"/>
        <v>0</v>
      </c>
      <c r="W19" s="172">
        <f t="shared" si="6"/>
        <v>0</v>
      </c>
    </row>
    <row r="20" spans="1:23" s="4" customFormat="1" ht="47.1" customHeight="1" x14ac:dyDescent="0.2">
      <c r="A20" s="118">
        <v>16</v>
      </c>
      <c r="B20" s="180">
        <f t="shared" si="4"/>
        <v>3</v>
      </c>
      <c r="C20" s="62"/>
      <c r="D20" s="64"/>
      <c r="E20" s="67"/>
      <c r="F20" s="142"/>
      <c r="G20" s="142"/>
      <c r="H20" s="143">
        <f t="shared" si="0"/>
        <v>0</v>
      </c>
      <c r="I20" s="68"/>
      <c r="J20" s="67"/>
      <c r="K20" s="142"/>
      <c r="L20" s="142"/>
      <c r="M20" s="143">
        <f t="shared" si="1"/>
        <v>0</v>
      </c>
      <c r="N20" s="68"/>
      <c r="O20" s="67"/>
      <c r="P20" s="142"/>
      <c r="Q20" s="142"/>
      <c r="R20" s="143">
        <f t="shared" si="2"/>
        <v>0</v>
      </c>
      <c r="S20" s="68"/>
      <c r="T20" s="147">
        <f t="shared" si="3"/>
        <v>0</v>
      </c>
      <c r="U20" s="121">
        <f t="shared" si="5"/>
        <v>0</v>
      </c>
      <c r="W20" s="172">
        <f t="shared" si="6"/>
        <v>0</v>
      </c>
    </row>
    <row r="21" spans="1:23" s="4" customFormat="1" ht="47.1" customHeight="1" x14ac:dyDescent="0.2">
      <c r="A21" s="118">
        <v>17</v>
      </c>
      <c r="B21" s="180">
        <f t="shared" si="4"/>
        <v>3</v>
      </c>
      <c r="C21" s="62"/>
      <c r="D21" s="64"/>
      <c r="E21" s="67"/>
      <c r="F21" s="142"/>
      <c r="G21" s="142"/>
      <c r="H21" s="143">
        <f t="shared" si="0"/>
        <v>0</v>
      </c>
      <c r="I21" s="68"/>
      <c r="J21" s="67"/>
      <c r="K21" s="142"/>
      <c r="L21" s="142"/>
      <c r="M21" s="143">
        <f t="shared" si="1"/>
        <v>0</v>
      </c>
      <c r="N21" s="68"/>
      <c r="O21" s="67"/>
      <c r="P21" s="142"/>
      <c r="Q21" s="142"/>
      <c r="R21" s="143">
        <f t="shared" si="2"/>
        <v>0</v>
      </c>
      <c r="S21" s="68"/>
      <c r="T21" s="147">
        <f t="shared" si="3"/>
        <v>0</v>
      </c>
      <c r="U21" s="121">
        <f t="shared" si="5"/>
        <v>0</v>
      </c>
      <c r="W21" s="172">
        <f t="shared" si="6"/>
        <v>0</v>
      </c>
    </row>
    <row r="22" spans="1:23" s="4" customFormat="1" ht="47.1" customHeight="1" x14ac:dyDescent="0.2">
      <c r="A22" s="118">
        <v>18</v>
      </c>
      <c r="B22" s="180">
        <f t="shared" si="4"/>
        <v>3</v>
      </c>
      <c r="C22" s="62"/>
      <c r="D22" s="64"/>
      <c r="E22" s="67"/>
      <c r="F22" s="142"/>
      <c r="G22" s="142"/>
      <c r="H22" s="143">
        <f t="shared" si="0"/>
        <v>0</v>
      </c>
      <c r="I22" s="68"/>
      <c r="J22" s="67"/>
      <c r="K22" s="142"/>
      <c r="L22" s="142"/>
      <c r="M22" s="143">
        <f t="shared" si="1"/>
        <v>0</v>
      </c>
      <c r="N22" s="68"/>
      <c r="O22" s="67"/>
      <c r="P22" s="142"/>
      <c r="Q22" s="142"/>
      <c r="R22" s="143">
        <f t="shared" si="2"/>
        <v>0</v>
      </c>
      <c r="S22" s="68"/>
      <c r="T22" s="147">
        <f t="shared" si="3"/>
        <v>0</v>
      </c>
      <c r="U22" s="121">
        <f t="shared" si="5"/>
        <v>0</v>
      </c>
      <c r="W22" s="172">
        <f t="shared" si="6"/>
        <v>0</v>
      </c>
    </row>
    <row r="23" spans="1:23" s="4" customFormat="1" ht="47.1" customHeight="1" x14ac:dyDescent="0.2">
      <c r="A23" s="118">
        <v>19</v>
      </c>
      <c r="B23" s="180">
        <f t="shared" si="4"/>
        <v>3</v>
      </c>
      <c r="C23" s="62"/>
      <c r="D23" s="64"/>
      <c r="E23" s="67"/>
      <c r="F23" s="142"/>
      <c r="G23" s="142"/>
      <c r="H23" s="143">
        <f t="shared" si="0"/>
        <v>0</v>
      </c>
      <c r="I23" s="68"/>
      <c r="J23" s="67"/>
      <c r="K23" s="142"/>
      <c r="L23" s="142"/>
      <c r="M23" s="143">
        <f t="shared" si="1"/>
        <v>0</v>
      </c>
      <c r="N23" s="68"/>
      <c r="O23" s="67"/>
      <c r="P23" s="142"/>
      <c r="Q23" s="142"/>
      <c r="R23" s="143">
        <f t="shared" si="2"/>
        <v>0</v>
      </c>
      <c r="S23" s="68"/>
      <c r="T23" s="147">
        <f t="shared" si="3"/>
        <v>0</v>
      </c>
      <c r="U23" s="121">
        <f t="shared" si="5"/>
        <v>0</v>
      </c>
      <c r="W23" s="172">
        <f t="shared" si="6"/>
        <v>0</v>
      </c>
    </row>
    <row r="24" spans="1:23" s="4" customFormat="1" ht="47.1" customHeight="1" x14ac:dyDescent="0.2">
      <c r="A24" s="118">
        <v>20</v>
      </c>
      <c r="B24" s="180">
        <f t="shared" si="4"/>
        <v>3</v>
      </c>
      <c r="C24" s="62"/>
      <c r="D24" s="64"/>
      <c r="E24" s="67"/>
      <c r="F24" s="142"/>
      <c r="G24" s="142"/>
      <c r="H24" s="143">
        <f t="shared" si="0"/>
        <v>0</v>
      </c>
      <c r="I24" s="68"/>
      <c r="J24" s="67"/>
      <c r="K24" s="142"/>
      <c r="L24" s="142"/>
      <c r="M24" s="143">
        <f t="shared" si="1"/>
        <v>0</v>
      </c>
      <c r="N24" s="68"/>
      <c r="O24" s="67"/>
      <c r="P24" s="142"/>
      <c r="Q24" s="142"/>
      <c r="R24" s="143">
        <f t="shared" si="2"/>
        <v>0</v>
      </c>
      <c r="S24" s="68"/>
      <c r="T24" s="147">
        <f t="shared" si="3"/>
        <v>0</v>
      </c>
      <c r="U24" s="121">
        <f t="shared" si="5"/>
        <v>0</v>
      </c>
      <c r="W24" s="172">
        <f t="shared" si="6"/>
        <v>0</v>
      </c>
    </row>
    <row r="25" spans="1:23" s="4" customFormat="1" ht="47.1" customHeight="1" x14ac:dyDescent="0.2">
      <c r="A25" s="118">
        <v>21</v>
      </c>
      <c r="B25" s="180">
        <f t="shared" si="4"/>
        <v>3</v>
      </c>
      <c r="C25" s="62"/>
      <c r="D25" s="64"/>
      <c r="E25" s="67"/>
      <c r="F25" s="142"/>
      <c r="G25" s="142"/>
      <c r="H25" s="143">
        <f t="shared" si="0"/>
        <v>0</v>
      </c>
      <c r="I25" s="68"/>
      <c r="J25" s="67"/>
      <c r="K25" s="142"/>
      <c r="L25" s="142"/>
      <c r="M25" s="143">
        <f t="shared" si="1"/>
        <v>0</v>
      </c>
      <c r="N25" s="68"/>
      <c r="O25" s="67"/>
      <c r="P25" s="142"/>
      <c r="Q25" s="142"/>
      <c r="R25" s="143">
        <f t="shared" si="2"/>
        <v>0</v>
      </c>
      <c r="S25" s="68"/>
      <c r="T25" s="147">
        <f t="shared" si="3"/>
        <v>0</v>
      </c>
      <c r="U25" s="121">
        <f t="shared" si="5"/>
        <v>0</v>
      </c>
      <c r="W25" s="172">
        <f t="shared" si="6"/>
        <v>0</v>
      </c>
    </row>
    <row r="26" spans="1:23" s="4" customFormat="1" ht="47.1" customHeight="1" x14ac:dyDescent="0.2">
      <c r="A26" s="118">
        <v>22</v>
      </c>
      <c r="B26" s="180">
        <f t="shared" si="4"/>
        <v>3</v>
      </c>
      <c r="C26" s="62"/>
      <c r="D26" s="64"/>
      <c r="E26" s="67"/>
      <c r="F26" s="142"/>
      <c r="G26" s="142"/>
      <c r="H26" s="143">
        <f t="shared" si="0"/>
        <v>0</v>
      </c>
      <c r="I26" s="68"/>
      <c r="J26" s="67"/>
      <c r="K26" s="142"/>
      <c r="L26" s="142"/>
      <c r="M26" s="143">
        <f t="shared" si="1"/>
        <v>0</v>
      </c>
      <c r="N26" s="68"/>
      <c r="O26" s="67"/>
      <c r="P26" s="142"/>
      <c r="Q26" s="142"/>
      <c r="R26" s="143">
        <f t="shared" si="2"/>
        <v>0</v>
      </c>
      <c r="S26" s="68"/>
      <c r="T26" s="147">
        <f t="shared" si="3"/>
        <v>0</v>
      </c>
      <c r="U26" s="121">
        <f t="shared" si="5"/>
        <v>0</v>
      </c>
      <c r="W26" s="172">
        <f t="shared" si="6"/>
        <v>0</v>
      </c>
    </row>
    <row r="27" spans="1:23" s="4" customFormat="1" ht="47.1" customHeight="1" x14ac:dyDescent="0.2">
      <c r="A27" s="118">
        <v>23</v>
      </c>
      <c r="B27" s="180">
        <f t="shared" si="4"/>
        <v>3</v>
      </c>
      <c r="C27" s="62"/>
      <c r="D27" s="64"/>
      <c r="E27" s="67"/>
      <c r="F27" s="142"/>
      <c r="G27" s="142"/>
      <c r="H27" s="143">
        <f t="shared" si="0"/>
        <v>0</v>
      </c>
      <c r="I27" s="68"/>
      <c r="J27" s="67"/>
      <c r="K27" s="142"/>
      <c r="L27" s="142"/>
      <c r="M27" s="143">
        <f t="shared" si="1"/>
        <v>0</v>
      </c>
      <c r="N27" s="68"/>
      <c r="O27" s="67"/>
      <c r="P27" s="142"/>
      <c r="Q27" s="142"/>
      <c r="R27" s="143">
        <f t="shared" si="2"/>
        <v>0</v>
      </c>
      <c r="S27" s="68"/>
      <c r="T27" s="147">
        <f t="shared" si="3"/>
        <v>0</v>
      </c>
      <c r="U27" s="121">
        <f t="shared" si="5"/>
        <v>0</v>
      </c>
      <c r="W27" s="172">
        <f t="shared" si="6"/>
        <v>0</v>
      </c>
    </row>
    <row r="28" spans="1:23" s="4" customFormat="1" ht="47.1" customHeight="1" x14ac:dyDescent="0.2">
      <c r="A28" s="118">
        <v>24</v>
      </c>
      <c r="B28" s="180">
        <f t="shared" si="4"/>
        <v>3</v>
      </c>
      <c r="C28" s="62"/>
      <c r="D28" s="64"/>
      <c r="E28" s="67"/>
      <c r="F28" s="142"/>
      <c r="G28" s="142"/>
      <c r="H28" s="143">
        <f t="shared" si="0"/>
        <v>0</v>
      </c>
      <c r="I28" s="68"/>
      <c r="J28" s="67"/>
      <c r="K28" s="142"/>
      <c r="L28" s="142"/>
      <c r="M28" s="143">
        <f t="shared" si="1"/>
        <v>0</v>
      </c>
      <c r="N28" s="68"/>
      <c r="O28" s="67"/>
      <c r="P28" s="142"/>
      <c r="Q28" s="142"/>
      <c r="R28" s="143">
        <f t="shared" si="2"/>
        <v>0</v>
      </c>
      <c r="S28" s="68"/>
      <c r="T28" s="147">
        <f t="shared" si="3"/>
        <v>0</v>
      </c>
      <c r="U28" s="121">
        <f t="shared" si="5"/>
        <v>0</v>
      </c>
      <c r="W28" s="172">
        <f t="shared" si="6"/>
        <v>0</v>
      </c>
    </row>
    <row r="29" spans="1:23" s="4" customFormat="1" ht="47.1" customHeight="1" x14ac:dyDescent="0.2">
      <c r="A29" s="118">
        <v>25</v>
      </c>
      <c r="B29" s="180">
        <f t="shared" si="4"/>
        <v>3</v>
      </c>
      <c r="C29" s="62"/>
      <c r="D29" s="64"/>
      <c r="E29" s="67"/>
      <c r="F29" s="142"/>
      <c r="G29" s="142"/>
      <c r="H29" s="143">
        <f t="shared" si="0"/>
        <v>0</v>
      </c>
      <c r="I29" s="68"/>
      <c r="J29" s="67"/>
      <c r="K29" s="142"/>
      <c r="L29" s="142"/>
      <c r="M29" s="143">
        <f t="shared" si="1"/>
        <v>0</v>
      </c>
      <c r="N29" s="68"/>
      <c r="O29" s="67"/>
      <c r="P29" s="142"/>
      <c r="Q29" s="142"/>
      <c r="R29" s="143">
        <f t="shared" si="2"/>
        <v>0</v>
      </c>
      <c r="S29" s="68"/>
      <c r="T29" s="147">
        <f t="shared" si="3"/>
        <v>0</v>
      </c>
      <c r="U29" s="121">
        <f t="shared" si="5"/>
        <v>0</v>
      </c>
      <c r="W29" s="172">
        <f t="shared" si="6"/>
        <v>0</v>
      </c>
    </row>
    <row r="30" spans="1:23" s="4" customFormat="1" ht="47.1" customHeight="1" x14ac:dyDescent="0.2">
      <c r="A30" s="118">
        <v>26</v>
      </c>
      <c r="B30" s="180">
        <f t="shared" si="4"/>
        <v>3</v>
      </c>
      <c r="C30" s="62"/>
      <c r="D30" s="64"/>
      <c r="E30" s="67"/>
      <c r="F30" s="142"/>
      <c r="G30" s="142"/>
      <c r="H30" s="143">
        <f t="shared" si="0"/>
        <v>0</v>
      </c>
      <c r="I30" s="68"/>
      <c r="J30" s="67"/>
      <c r="K30" s="142"/>
      <c r="L30" s="142"/>
      <c r="M30" s="143">
        <f t="shared" si="1"/>
        <v>0</v>
      </c>
      <c r="N30" s="68"/>
      <c r="O30" s="67"/>
      <c r="P30" s="142"/>
      <c r="Q30" s="142"/>
      <c r="R30" s="143">
        <f t="shared" si="2"/>
        <v>0</v>
      </c>
      <c r="S30" s="68"/>
      <c r="T30" s="147">
        <f t="shared" si="3"/>
        <v>0</v>
      </c>
      <c r="U30" s="121">
        <f t="shared" si="5"/>
        <v>0</v>
      </c>
      <c r="W30" s="172">
        <f t="shared" si="6"/>
        <v>0</v>
      </c>
    </row>
    <row r="31" spans="1:23" s="4" customFormat="1" ht="47.1" customHeight="1" x14ac:dyDescent="0.2">
      <c r="A31" s="118">
        <v>27</v>
      </c>
      <c r="B31" s="180">
        <f t="shared" si="4"/>
        <v>3</v>
      </c>
      <c r="C31" s="62"/>
      <c r="D31" s="64"/>
      <c r="E31" s="67"/>
      <c r="F31" s="142"/>
      <c r="G31" s="142"/>
      <c r="H31" s="143">
        <f t="shared" si="0"/>
        <v>0</v>
      </c>
      <c r="I31" s="68"/>
      <c r="J31" s="67"/>
      <c r="K31" s="142"/>
      <c r="L31" s="142"/>
      <c r="M31" s="143">
        <f t="shared" si="1"/>
        <v>0</v>
      </c>
      <c r="N31" s="68"/>
      <c r="O31" s="67"/>
      <c r="P31" s="142"/>
      <c r="Q31" s="142"/>
      <c r="R31" s="143">
        <f t="shared" si="2"/>
        <v>0</v>
      </c>
      <c r="S31" s="68"/>
      <c r="T31" s="147">
        <f t="shared" si="3"/>
        <v>0</v>
      </c>
      <c r="U31" s="121">
        <f t="shared" si="5"/>
        <v>0</v>
      </c>
      <c r="W31" s="172">
        <f t="shared" si="6"/>
        <v>0</v>
      </c>
    </row>
    <row r="32" spans="1:23" s="4" customFormat="1" ht="47.1" customHeight="1" x14ac:dyDescent="0.2">
      <c r="A32" s="118">
        <v>28</v>
      </c>
      <c r="B32" s="180">
        <f t="shared" si="4"/>
        <v>3</v>
      </c>
      <c r="C32" s="62"/>
      <c r="D32" s="64"/>
      <c r="E32" s="67"/>
      <c r="F32" s="142"/>
      <c r="G32" s="142"/>
      <c r="H32" s="143">
        <f t="shared" si="0"/>
        <v>0</v>
      </c>
      <c r="I32" s="68"/>
      <c r="J32" s="67"/>
      <c r="K32" s="142"/>
      <c r="L32" s="142"/>
      <c r="M32" s="143">
        <f t="shared" si="1"/>
        <v>0</v>
      </c>
      <c r="N32" s="68"/>
      <c r="O32" s="67"/>
      <c r="P32" s="142"/>
      <c r="Q32" s="142"/>
      <c r="R32" s="143">
        <f t="shared" si="2"/>
        <v>0</v>
      </c>
      <c r="S32" s="68"/>
      <c r="T32" s="147">
        <f t="shared" si="3"/>
        <v>0</v>
      </c>
      <c r="U32" s="121">
        <f t="shared" si="5"/>
        <v>0</v>
      </c>
      <c r="W32" s="172">
        <f t="shared" si="6"/>
        <v>0</v>
      </c>
    </row>
    <row r="33" spans="1:23" s="4" customFormat="1" ht="47.1" customHeight="1" x14ac:dyDescent="0.2">
      <c r="A33" s="118">
        <v>29</v>
      </c>
      <c r="B33" s="180">
        <f t="shared" si="4"/>
        <v>3</v>
      </c>
      <c r="C33" s="62"/>
      <c r="D33" s="64"/>
      <c r="E33" s="67"/>
      <c r="F33" s="142"/>
      <c r="G33" s="142"/>
      <c r="H33" s="143">
        <f t="shared" si="0"/>
        <v>0</v>
      </c>
      <c r="I33" s="68"/>
      <c r="J33" s="67"/>
      <c r="K33" s="142"/>
      <c r="L33" s="142"/>
      <c r="M33" s="143">
        <f t="shared" si="1"/>
        <v>0</v>
      </c>
      <c r="N33" s="68"/>
      <c r="O33" s="67"/>
      <c r="P33" s="142"/>
      <c r="Q33" s="142"/>
      <c r="R33" s="143">
        <f t="shared" si="2"/>
        <v>0</v>
      </c>
      <c r="S33" s="68"/>
      <c r="T33" s="147">
        <f t="shared" si="3"/>
        <v>0</v>
      </c>
      <c r="U33" s="121">
        <f t="shared" si="5"/>
        <v>0</v>
      </c>
      <c r="W33" s="172">
        <f t="shared" si="6"/>
        <v>0</v>
      </c>
    </row>
    <row r="34" spans="1:23" s="4" customFormat="1" ht="47.1" customHeight="1" x14ac:dyDescent="0.2">
      <c r="A34" s="118">
        <v>30</v>
      </c>
      <c r="B34" s="180">
        <f t="shared" si="4"/>
        <v>3</v>
      </c>
      <c r="C34" s="62"/>
      <c r="D34" s="64"/>
      <c r="E34" s="67"/>
      <c r="F34" s="142"/>
      <c r="G34" s="142"/>
      <c r="H34" s="143">
        <f t="shared" si="0"/>
        <v>0</v>
      </c>
      <c r="I34" s="68"/>
      <c r="J34" s="67"/>
      <c r="K34" s="142"/>
      <c r="L34" s="142"/>
      <c r="M34" s="143">
        <f t="shared" si="1"/>
        <v>0</v>
      </c>
      <c r="N34" s="68"/>
      <c r="O34" s="67"/>
      <c r="P34" s="142"/>
      <c r="Q34" s="142"/>
      <c r="R34" s="143">
        <f t="shared" si="2"/>
        <v>0</v>
      </c>
      <c r="S34" s="68"/>
      <c r="T34" s="147">
        <f t="shared" si="3"/>
        <v>0</v>
      </c>
      <c r="U34" s="121">
        <f t="shared" si="5"/>
        <v>0</v>
      </c>
      <c r="W34" s="172">
        <f t="shared" si="6"/>
        <v>0</v>
      </c>
    </row>
    <row r="35" spans="1:23" s="4" customFormat="1" ht="47.1" customHeight="1" x14ac:dyDescent="0.2">
      <c r="A35" s="118">
        <v>31</v>
      </c>
      <c r="B35" s="180">
        <f t="shared" si="4"/>
        <v>3</v>
      </c>
      <c r="C35" s="62"/>
      <c r="D35" s="64"/>
      <c r="E35" s="67"/>
      <c r="F35" s="142"/>
      <c r="G35" s="142"/>
      <c r="H35" s="143">
        <f t="shared" si="0"/>
        <v>0</v>
      </c>
      <c r="I35" s="68"/>
      <c r="J35" s="67"/>
      <c r="K35" s="142"/>
      <c r="L35" s="142"/>
      <c r="M35" s="143">
        <f t="shared" si="1"/>
        <v>0</v>
      </c>
      <c r="N35" s="68"/>
      <c r="O35" s="67"/>
      <c r="P35" s="142"/>
      <c r="Q35" s="142"/>
      <c r="R35" s="143">
        <f t="shared" si="2"/>
        <v>0</v>
      </c>
      <c r="S35" s="68"/>
      <c r="T35" s="147">
        <f t="shared" si="3"/>
        <v>0</v>
      </c>
      <c r="U35" s="121">
        <f t="shared" si="5"/>
        <v>0</v>
      </c>
      <c r="W35" s="172">
        <f t="shared" si="6"/>
        <v>0</v>
      </c>
    </row>
    <row r="36" spans="1:23" s="4" customFormat="1" ht="47.1" customHeight="1" x14ac:dyDescent="0.2">
      <c r="A36" s="118">
        <v>32</v>
      </c>
      <c r="B36" s="180">
        <f t="shared" si="4"/>
        <v>3</v>
      </c>
      <c r="C36" s="62"/>
      <c r="D36" s="64"/>
      <c r="E36" s="67"/>
      <c r="F36" s="142"/>
      <c r="G36" s="142"/>
      <c r="H36" s="143">
        <f t="shared" si="0"/>
        <v>0</v>
      </c>
      <c r="I36" s="68"/>
      <c r="J36" s="67"/>
      <c r="K36" s="142"/>
      <c r="L36" s="142"/>
      <c r="M36" s="143">
        <f t="shared" si="1"/>
        <v>0</v>
      </c>
      <c r="N36" s="68"/>
      <c r="O36" s="67"/>
      <c r="P36" s="142"/>
      <c r="Q36" s="142"/>
      <c r="R36" s="143">
        <f t="shared" si="2"/>
        <v>0</v>
      </c>
      <c r="S36" s="68"/>
      <c r="T36" s="147">
        <f t="shared" si="3"/>
        <v>0</v>
      </c>
      <c r="U36" s="121">
        <f t="shared" si="5"/>
        <v>0</v>
      </c>
      <c r="W36" s="172">
        <f t="shared" si="6"/>
        <v>0</v>
      </c>
    </row>
    <row r="37" spans="1:23" s="4" customFormat="1" ht="47.1" customHeight="1" x14ac:dyDescent="0.2">
      <c r="A37" s="118">
        <v>33</v>
      </c>
      <c r="B37" s="180">
        <f t="shared" si="4"/>
        <v>3</v>
      </c>
      <c r="C37" s="62"/>
      <c r="D37" s="64"/>
      <c r="E37" s="67"/>
      <c r="F37" s="142"/>
      <c r="G37" s="142"/>
      <c r="H37" s="143">
        <f t="shared" si="0"/>
        <v>0</v>
      </c>
      <c r="I37" s="68"/>
      <c r="J37" s="67"/>
      <c r="K37" s="142"/>
      <c r="L37" s="142"/>
      <c r="M37" s="143">
        <f t="shared" si="1"/>
        <v>0</v>
      </c>
      <c r="N37" s="68"/>
      <c r="O37" s="67"/>
      <c r="P37" s="142"/>
      <c r="Q37" s="142"/>
      <c r="R37" s="143">
        <f t="shared" si="2"/>
        <v>0</v>
      </c>
      <c r="S37" s="68"/>
      <c r="T37" s="147">
        <f t="shared" si="3"/>
        <v>0</v>
      </c>
      <c r="U37" s="121">
        <f t="shared" si="5"/>
        <v>0</v>
      </c>
      <c r="W37" s="172">
        <f t="shared" si="6"/>
        <v>0</v>
      </c>
    </row>
    <row r="38" spans="1:23" s="4" customFormat="1" ht="47.1" customHeight="1" x14ac:dyDescent="0.2">
      <c r="A38" s="118">
        <v>34</v>
      </c>
      <c r="B38" s="180">
        <f t="shared" si="4"/>
        <v>3</v>
      </c>
      <c r="C38" s="62"/>
      <c r="D38" s="64"/>
      <c r="E38" s="67"/>
      <c r="F38" s="142"/>
      <c r="G38" s="142"/>
      <c r="H38" s="143">
        <f t="shared" si="0"/>
        <v>0</v>
      </c>
      <c r="I38" s="68"/>
      <c r="J38" s="67"/>
      <c r="K38" s="142"/>
      <c r="L38" s="142"/>
      <c r="M38" s="143">
        <f t="shared" si="1"/>
        <v>0</v>
      </c>
      <c r="N38" s="68"/>
      <c r="O38" s="67"/>
      <c r="P38" s="142"/>
      <c r="Q38" s="142"/>
      <c r="R38" s="143">
        <f t="shared" si="2"/>
        <v>0</v>
      </c>
      <c r="S38" s="68"/>
      <c r="T38" s="147">
        <f t="shared" si="3"/>
        <v>0</v>
      </c>
      <c r="U38" s="121">
        <f t="shared" si="5"/>
        <v>0</v>
      </c>
      <c r="W38" s="172">
        <f t="shared" si="6"/>
        <v>0</v>
      </c>
    </row>
    <row r="39" spans="1:23" s="4" customFormat="1" ht="47.1" customHeight="1" x14ac:dyDescent="0.2">
      <c r="A39" s="118">
        <v>35</v>
      </c>
      <c r="B39" s="180">
        <f t="shared" si="4"/>
        <v>3</v>
      </c>
      <c r="C39" s="62"/>
      <c r="D39" s="64"/>
      <c r="E39" s="67"/>
      <c r="F39" s="142"/>
      <c r="G39" s="142"/>
      <c r="H39" s="143">
        <f t="shared" si="0"/>
        <v>0</v>
      </c>
      <c r="I39" s="68"/>
      <c r="J39" s="67"/>
      <c r="K39" s="142"/>
      <c r="L39" s="142"/>
      <c r="M39" s="143">
        <f t="shared" si="1"/>
        <v>0</v>
      </c>
      <c r="N39" s="68"/>
      <c r="O39" s="67"/>
      <c r="P39" s="142"/>
      <c r="Q39" s="142"/>
      <c r="R39" s="143">
        <f t="shared" si="2"/>
        <v>0</v>
      </c>
      <c r="S39" s="68"/>
      <c r="T39" s="147">
        <f t="shared" si="3"/>
        <v>0</v>
      </c>
      <c r="U39" s="121">
        <f t="shared" si="5"/>
        <v>0</v>
      </c>
      <c r="W39" s="172">
        <f t="shared" si="6"/>
        <v>0</v>
      </c>
    </row>
    <row r="40" spans="1:23" s="4" customFormat="1" ht="47.1" customHeight="1" x14ac:dyDescent="0.2">
      <c r="A40" s="118">
        <v>36</v>
      </c>
      <c r="B40" s="180">
        <f t="shared" si="4"/>
        <v>3</v>
      </c>
      <c r="C40" s="62"/>
      <c r="D40" s="64"/>
      <c r="E40" s="67"/>
      <c r="F40" s="142"/>
      <c r="G40" s="142"/>
      <c r="H40" s="143">
        <f t="shared" si="0"/>
        <v>0</v>
      </c>
      <c r="I40" s="68"/>
      <c r="J40" s="67"/>
      <c r="K40" s="142"/>
      <c r="L40" s="142"/>
      <c r="M40" s="143">
        <f t="shared" si="1"/>
        <v>0</v>
      </c>
      <c r="N40" s="68"/>
      <c r="O40" s="67"/>
      <c r="P40" s="142"/>
      <c r="Q40" s="142"/>
      <c r="R40" s="143">
        <f t="shared" si="2"/>
        <v>0</v>
      </c>
      <c r="S40" s="68"/>
      <c r="T40" s="147">
        <f t="shared" si="3"/>
        <v>0</v>
      </c>
      <c r="U40" s="121">
        <f t="shared" si="5"/>
        <v>0</v>
      </c>
      <c r="W40" s="172">
        <f t="shared" si="6"/>
        <v>0</v>
      </c>
    </row>
    <row r="41" spans="1:23" s="4" customFormat="1" ht="47.1" customHeight="1" x14ac:dyDescent="0.2">
      <c r="A41" s="118">
        <v>37</v>
      </c>
      <c r="B41" s="180">
        <f t="shared" si="4"/>
        <v>3</v>
      </c>
      <c r="C41" s="62"/>
      <c r="D41" s="64"/>
      <c r="E41" s="67"/>
      <c r="F41" s="142"/>
      <c r="G41" s="142"/>
      <c r="H41" s="143">
        <f t="shared" si="0"/>
        <v>0</v>
      </c>
      <c r="I41" s="68"/>
      <c r="J41" s="67"/>
      <c r="K41" s="142"/>
      <c r="L41" s="142"/>
      <c r="M41" s="143">
        <f t="shared" si="1"/>
        <v>0</v>
      </c>
      <c r="N41" s="68"/>
      <c r="O41" s="67"/>
      <c r="P41" s="142"/>
      <c r="Q41" s="142"/>
      <c r="R41" s="143">
        <f t="shared" si="2"/>
        <v>0</v>
      </c>
      <c r="S41" s="68"/>
      <c r="T41" s="147">
        <f t="shared" si="3"/>
        <v>0</v>
      </c>
      <c r="U41" s="121">
        <f t="shared" si="5"/>
        <v>0</v>
      </c>
      <c r="W41" s="172">
        <f t="shared" si="6"/>
        <v>0</v>
      </c>
    </row>
    <row r="42" spans="1:23" s="4" customFormat="1" ht="47.1" customHeight="1" x14ac:dyDescent="0.2">
      <c r="A42" s="118">
        <v>38</v>
      </c>
      <c r="B42" s="180">
        <f t="shared" si="4"/>
        <v>3</v>
      </c>
      <c r="C42" s="62"/>
      <c r="D42" s="64"/>
      <c r="E42" s="67"/>
      <c r="F42" s="142"/>
      <c r="G42" s="142"/>
      <c r="H42" s="143">
        <f t="shared" si="0"/>
        <v>0</v>
      </c>
      <c r="I42" s="68"/>
      <c r="J42" s="67"/>
      <c r="K42" s="142"/>
      <c r="L42" s="142"/>
      <c r="M42" s="143">
        <f t="shared" si="1"/>
        <v>0</v>
      </c>
      <c r="N42" s="68"/>
      <c r="O42" s="67"/>
      <c r="P42" s="142"/>
      <c r="Q42" s="142"/>
      <c r="R42" s="143">
        <f t="shared" si="2"/>
        <v>0</v>
      </c>
      <c r="S42" s="68"/>
      <c r="T42" s="147">
        <f t="shared" si="3"/>
        <v>0</v>
      </c>
      <c r="U42" s="121">
        <f t="shared" si="5"/>
        <v>0</v>
      </c>
      <c r="W42" s="172">
        <f t="shared" si="6"/>
        <v>0</v>
      </c>
    </row>
    <row r="43" spans="1:23" s="4" customFormat="1" ht="47.1" customHeight="1" x14ac:dyDescent="0.2">
      <c r="A43" s="118">
        <v>39</v>
      </c>
      <c r="B43" s="180">
        <f t="shared" si="4"/>
        <v>3</v>
      </c>
      <c r="C43" s="62"/>
      <c r="D43" s="64"/>
      <c r="E43" s="67"/>
      <c r="F43" s="142"/>
      <c r="G43" s="142"/>
      <c r="H43" s="143">
        <f t="shared" si="0"/>
        <v>0</v>
      </c>
      <c r="I43" s="68"/>
      <c r="J43" s="67"/>
      <c r="K43" s="142"/>
      <c r="L43" s="142"/>
      <c r="M43" s="143">
        <f t="shared" si="1"/>
        <v>0</v>
      </c>
      <c r="N43" s="68"/>
      <c r="O43" s="67"/>
      <c r="P43" s="142"/>
      <c r="Q43" s="142"/>
      <c r="R43" s="143">
        <f t="shared" si="2"/>
        <v>0</v>
      </c>
      <c r="S43" s="68"/>
      <c r="T43" s="147">
        <f t="shared" si="3"/>
        <v>0</v>
      </c>
      <c r="U43" s="121">
        <f t="shared" si="5"/>
        <v>0</v>
      </c>
      <c r="W43" s="172">
        <f t="shared" si="6"/>
        <v>0</v>
      </c>
    </row>
    <row r="44" spans="1:23" s="4" customFormat="1" ht="47.1" customHeight="1" thickBot="1" x14ac:dyDescent="0.25">
      <c r="A44" s="119">
        <v>40</v>
      </c>
      <c r="B44" s="181">
        <f t="shared" si="4"/>
        <v>3</v>
      </c>
      <c r="C44" s="65"/>
      <c r="D44" s="66"/>
      <c r="E44" s="69"/>
      <c r="F44" s="144"/>
      <c r="G44" s="144"/>
      <c r="H44" s="145">
        <f t="shared" si="0"/>
        <v>0</v>
      </c>
      <c r="I44" s="70"/>
      <c r="J44" s="69"/>
      <c r="K44" s="144"/>
      <c r="L44" s="144"/>
      <c r="M44" s="145">
        <f t="shared" si="1"/>
        <v>0</v>
      </c>
      <c r="N44" s="70"/>
      <c r="O44" s="69"/>
      <c r="P44" s="144"/>
      <c r="Q44" s="144"/>
      <c r="R44" s="145">
        <f t="shared" si="2"/>
        <v>0</v>
      </c>
      <c r="S44" s="70"/>
      <c r="T44" s="148">
        <f t="shared" si="3"/>
        <v>0</v>
      </c>
      <c r="U44" s="122">
        <f t="shared" si="5"/>
        <v>0</v>
      </c>
      <c r="W44" s="172">
        <f t="shared" si="6"/>
        <v>0</v>
      </c>
    </row>
    <row r="45" spans="1:23" ht="41.25" thickTop="1" x14ac:dyDescent="0.2"/>
  </sheetData>
  <sheetProtection password="CF6D" sheet="1" objects="1" scenarios="1" formatColumns="0" selectLockedCells="1"/>
  <mergeCells count="16">
    <mergeCell ref="A1:U2"/>
    <mergeCell ref="K3:L3"/>
    <mergeCell ref="T3:T4"/>
    <mergeCell ref="U3:U4"/>
    <mergeCell ref="B3:B4"/>
    <mergeCell ref="I3:I4"/>
    <mergeCell ref="N3:N4"/>
    <mergeCell ref="S3:S4"/>
    <mergeCell ref="M3:M4"/>
    <mergeCell ref="P3:Q3"/>
    <mergeCell ref="R3:R4"/>
    <mergeCell ref="A3:A4"/>
    <mergeCell ref="C3:C4"/>
    <mergeCell ref="D3:D4"/>
    <mergeCell ref="F3:G3"/>
    <mergeCell ref="H3:H4"/>
  </mergeCells>
  <phoneticPr fontId="2" type="noConversion"/>
  <printOptions horizontalCentered="1" verticalCentered="1"/>
  <pageMargins left="0" right="0" top="0" bottom="0" header="0.19685039370078741" footer="0.19685039370078741"/>
  <pageSetup paperSize="9" scale="27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Z44"/>
  <sheetViews>
    <sheetView showGridLines="0" topLeftCell="F1" zoomScale="50" zoomScaleNormal="50" zoomScaleSheetLayoutView="40" zoomScalePageLayoutView="35" workbookViewId="0"/>
  </sheetViews>
  <sheetFormatPr baseColWidth="10" defaultColWidth="10.625" defaultRowHeight="40.5" x14ac:dyDescent="0.2"/>
  <cols>
    <col min="1" max="1" width="15.875" style="81" customWidth="1"/>
    <col min="2" max="2" width="56.125" style="90" customWidth="1"/>
    <col min="3" max="3" width="21.125" style="90" customWidth="1"/>
    <col min="4" max="4" width="46.375" style="90" customWidth="1"/>
    <col min="5" max="7" width="14.5" style="91" customWidth="1"/>
    <col min="8" max="8" width="0.125" style="91" customWidth="1"/>
    <col min="9" max="9" width="48.125" style="90" customWidth="1"/>
    <col min="10" max="10" width="14.5" style="92" customWidth="1"/>
    <col min="11" max="11" width="14.5" style="91" customWidth="1"/>
    <col min="12" max="12" width="14" style="91" customWidth="1"/>
    <col min="13" max="13" width="10.5" style="91" hidden="1" customWidth="1"/>
    <col min="14" max="14" width="50.625" style="90" customWidth="1"/>
    <col min="15" max="15" width="14.625" style="91" customWidth="1"/>
    <col min="16" max="16" width="14.625" style="92" customWidth="1"/>
    <col min="17" max="17" width="14.625" style="91" customWidth="1"/>
    <col min="18" max="18" width="10.625" style="91" hidden="1" customWidth="1"/>
    <col min="19" max="19" width="16.625" style="91" bestFit="1" customWidth="1"/>
    <col min="20" max="20" width="8.5" style="93" hidden="1" customWidth="1"/>
    <col min="21" max="21" width="4.5" style="81" customWidth="1"/>
    <col min="22" max="22" width="19.125" style="81" customWidth="1"/>
    <col min="23" max="23" width="4.5" style="81" customWidth="1"/>
    <col min="24" max="24" width="6.875" style="81" customWidth="1"/>
    <col min="25" max="25" width="3.125" style="81" customWidth="1"/>
    <col min="26" max="26" width="1" style="82" customWidth="1"/>
    <col min="27" max="27" width="9.5" style="81" customWidth="1"/>
    <col min="28" max="28" width="9.625" style="81" customWidth="1"/>
    <col min="29" max="16384" width="10.625" style="81"/>
  </cols>
  <sheetData>
    <row r="1" spans="1:26" ht="146.1" customHeight="1" x14ac:dyDescent="0.2">
      <c r="A1" s="174">
        <v>80</v>
      </c>
      <c r="B1" s="175"/>
      <c r="C1" s="175"/>
      <c r="D1" s="175"/>
      <c r="E1" s="176"/>
      <c r="F1" s="176"/>
      <c r="G1" s="176"/>
      <c r="H1" s="176"/>
      <c r="I1" s="175"/>
      <c r="J1" s="177"/>
      <c r="K1" s="176"/>
      <c r="L1" s="176"/>
      <c r="M1" s="176"/>
      <c r="N1" s="175"/>
      <c r="O1" s="176"/>
      <c r="P1" s="177"/>
      <c r="Q1" s="176"/>
      <c r="R1" s="176"/>
      <c r="S1" s="176"/>
      <c r="T1" s="178"/>
    </row>
    <row r="2" spans="1:26" ht="59.1" customHeight="1" x14ac:dyDescent="0.2">
      <c r="A2" s="210" t="str">
        <f>CONCATENATE("MATCH DE QUALIFICATION"," - ",INFO!B7," - ",INFO!B9)</f>
        <v>MATCH DE QUALIFICATION - Pistolet - Ile de France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</row>
    <row r="3" spans="1:26" ht="30" customHeight="1" x14ac:dyDescent="0.2">
      <c r="A3" s="212" t="s">
        <v>60</v>
      </c>
      <c r="B3" s="215" t="s">
        <v>7</v>
      </c>
      <c r="C3" s="215" t="s">
        <v>38</v>
      </c>
      <c r="D3" s="83" t="s">
        <v>24</v>
      </c>
      <c r="E3" s="211" t="s">
        <v>42</v>
      </c>
      <c r="F3" s="211"/>
      <c r="G3" s="213" t="s">
        <v>43</v>
      </c>
      <c r="H3" s="217" t="s">
        <v>51</v>
      </c>
      <c r="I3" s="83" t="s">
        <v>24</v>
      </c>
      <c r="J3" s="211" t="s">
        <v>42</v>
      </c>
      <c r="K3" s="211"/>
      <c r="L3" s="213" t="s">
        <v>43</v>
      </c>
      <c r="M3" s="217" t="s">
        <v>51</v>
      </c>
      <c r="N3" s="83" t="s">
        <v>24</v>
      </c>
      <c r="O3" s="211" t="s">
        <v>42</v>
      </c>
      <c r="P3" s="211"/>
      <c r="Q3" s="213" t="s">
        <v>43</v>
      </c>
      <c r="R3" s="217" t="s">
        <v>51</v>
      </c>
      <c r="S3" s="216" t="s">
        <v>8</v>
      </c>
      <c r="T3" s="214" t="s">
        <v>9</v>
      </c>
      <c r="U3" s="84"/>
      <c r="Z3" s="81"/>
    </row>
    <row r="4" spans="1:26" ht="44.1" customHeight="1" x14ac:dyDescent="0.2">
      <c r="A4" s="212"/>
      <c r="B4" s="215"/>
      <c r="C4" s="215"/>
      <c r="D4" s="83" t="s">
        <v>36</v>
      </c>
      <c r="E4" s="138">
        <v>1</v>
      </c>
      <c r="F4" s="138">
        <v>2</v>
      </c>
      <c r="G4" s="213"/>
      <c r="H4" s="217"/>
      <c r="I4" s="83" t="s">
        <v>35</v>
      </c>
      <c r="J4" s="138">
        <v>1</v>
      </c>
      <c r="K4" s="138">
        <v>2</v>
      </c>
      <c r="L4" s="213"/>
      <c r="M4" s="217"/>
      <c r="N4" s="83" t="s">
        <v>37</v>
      </c>
      <c r="O4" s="138">
        <v>1</v>
      </c>
      <c r="P4" s="138">
        <v>2</v>
      </c>
      <c r="Q4" s="213"/>
      <c r="R4" s="217"/>
      <c r="S4" s="216"/>
      <c r="T4" s="214"/>
      <c r="Z4" s="81"/>
    </row>
    <row r="5" spans="1:26" s="89" customFormat="1" ht="47.1" customHeight="1" x14ac:dyDescent="0.2">
      <c r="A5" s="85">
        <v>1</v>
      </c>
      <c r="B5" s="139" t="str">
        <f>VLOOKUP(A5,saisie!B$5:W$44,2,0)</f>
        <v>Amicale des Tireurs de Buc</v>
      </c>
      <c r="C5" s="86" t="str">
        <f>VLOOKUP(A5,saisie!B$5:W$44,3,0)</f>
        <v>10.78.084</v>
      </c>
      <c r="D5" s="83" t="str">
        <f>VLOOKUP(A5,saisie!B$5:W$44,4,0)</f>
        <v>ASFAUX Filip</v>
      </c>
      <c r="E5" s="149">
        <f>VLOOKUP(A5,saisie!B$5:W$44,5,0)</f>
        <v>55</v>
      </c>
      <c r="F5" s="149">
        <f>VLOOKUP(A5,saisie!B$5:W$44,6,0)</f>
        <v>59</v>
      </c>
      <c r="G5" s="150">
        <f t="shared" ref="G5:G44" si="0">SUM(E5:F5)</f>
        <v>114</v>
      </c>
      <c r="H5" s="87">
        <f>VLOOKUP(A5,saisie!B$5:W$44,8,0)</f>
        <v>0</v>
      </c>
      <c r="I5" s="83" t="str">
        <f>VLOOKUP(A5,saisie!B$5:W$44,9,0)</f>
        <v>LEFEBVRE Mahaut</v>
      </c>
      <c r="J5" s="149">
        <f>VLOOKUP(A5,saisie!B$5:W$44,10,0)</f>
        <v>72</v>
      </c>
      <c r="K5" s="149">
        <f>VLOOKUP(A5,saisie!B$5:W$44,11,0)</f>
        <v>68</v>
      </c>
      <c r="L5" s="150">
        <f t="shared" ref="L5:L44" si="1">SUM(J5:K5)</f>
        <v>140</v>
      </c>
      <c r="M5" s="87">
        <f>VLOOKUP(A5,saisie!B$5:W$44,13,0)</f>
        <v>0</v>
      </c>
      <c r="N5" s="83" t="str">
        <f>VLOOKUP(A5,saisie!B$5:W$44,14,0)</f>
        <v>PINSON-COPIN Noa</v>
      </c>
      <c r="O5" s="149">
        <f>VLOOKUP(A5,saisie!B$5:W$44,15,0)</f>
        <v>80</v>
      </c>
      <c r="P5" s="149">
        <f>VLOOKUP(A5,saisie!B$5:W$44,16,0)</f>
        <v>86</v>
      </c>
      <c r="Q5" s="150">
        <f t="shared" ref="Q5:Q44" si="2">SUM(O5:P5)</f>
        <v>166</v>
      </c>
      <c r="R5" s="87">
        <f>VLOOKUP(A5,saisie!B$5:W$44,18,0)</f>
        <v>0</v>
      </c>
      <c r="S5" s="151">
        <f t="shared" ref="S5:S44" si="3">SUM(G5+L5+Q5)</f>
        <v>420</v>
      </c>
      <c r="T5" s="88">
        <f>VLOOKUP(A5,saisie!B$5:W$44,20,0)</f>
        <v>0</v>
      </c>
    </row>
    <row r="6" spans="1:26" s="89" customFormat="1" ht="47.1" customHeight="1" x14ac:dyDescent="0.2">
      <c r="A6" s="85">
        <f>IF(INFO!B8&gt;1,2,"")</f>
        <v>2</v>
      </c>
      <c r="B6" s="139" t="str">
        <f>VLOOKUP(A6,saisie!B$5:W$44,2,0)</f>
        <v>Tir National de Versailles</v>
      </c>
      <c r="C6" s="86" t="str">
        <f>VLOOKUP(A6,saisie!B$5:W$44,3,0)</f>
        <v>10.78.003</v>
      </c>
      <c r="D6" s="83" t="str">
        <f>VLOOKUP(A6,saisie!B$5:W$44,4,0)</f>
        <v>ECHEGU Eloïs</v>
      </c>
      <c r="E6" s="149">
        <f>VLOOKUP(A6,saisie!B$5:W$44,5,0)</f>
        <v>56</v>
      </c>
      <c r="F6" s="149">
        <f>VLOOKUP(A6,saisie!B$5:W$44,6,0)</f>
        <v>65</v>
      </c>
      <c r="G6" s="150">
        <f t="shared" si="0"/>
        <v>121</v>
      </c>
      <c r="H6" s="87">
        <f>VLOOKUP(A6,saisie!B$5:W$44,8,0)</f>
        <v>0</v>
      </c>
      <c r="I6" s="83" t="str">
        <f>VLOOKUP(A6,saisie!B$5:W$44,9,0)</f>
        <v>LAMBERT Dorian</v>
      </c>
      <c r="J6" s="149">
        <f>VLOOKUP(A6,saisie!B$5:W$44,10,0)</f>
        <v>59</v>
      </c>
      <c r="K6" s="149">
        <f>VLOOKUP(A6,saisie!B$5:W$44,11,0)</f>
        <v>50</v>
      </c>
      <c r="L6" s="150">
        <f t="shared" si="1"/>
        <v>109</v>
      </c>
      <c r="M6" s="87">
        <f>VLOOKUP(A6,saisie!B$5:W$44,13,0)</f>
        <v>0</v>
      </c>
      <c r="N6" s="83" t="str">
        <f>VLOOKUP(A6,saisie!B$5:W$44,14,0)</f>
        <v>BOUGEARD Amandine</v>
      </c>
      <c r="O6" s="149">
        <f>VLOOKUP(A6,saisie!B$5:W$44,15,0)</f>
        <v>72</v>
      </c>
      <c r="P6" s="149">
        <f>VLOOKUP(A6,saisie!B$5:W$44,16,0)</f>
        <v>44</v>
      </c>
      <c r="Q6" s="150">
        <f t="shared" si="2"/>
        <v>116</v>
      </c>
      <c r="R6" s="87">
        <f>VLOOKUP(A6,saisie!B$5:W$44,18,0)</f>
        <v>0</v>
      </c>
      <c r="S6" s="151">
        <f t="shared" si="3"/>
        <v>346</v>
      </c>
      <c r="T6" s="88">
        <f>VLOOKUP(A6,saisie!B$5:W$44,20,0)</f>
        <v>0</v>
      </c>
    </row>
    <row r="7" spans="1:26" s="89" customFormat="1" ht="47.1" customHeight="1" x14ac:dyDescent="0.2">
      <c r="A7" s="85" t="str">
        <f>IF(INFO!B8&gt;2,3,"")</f>
        <v/>
      </c>
      <c r="B7" s="139" t="e">
        <f>VLOOKUP(A7,saisie!B$5:W$44,2,0)</f>
        <v>#N/A</v>
      </c>
      <c r="C7" s="86" t="e">
        <f>VLOOKUP(A7,saisie!B$5:W$44,3,0)</f>
        <v>#N/A</v>
      </c>
      <c r="D7" s="83" t="e">
        <f>VLOOKUP(A7,saisie!B$5:W$44,4,0)</f>
        <v>#N/A</v>
      </c>
      <c r="E7" s="149" t="e">
        <f>VLOOKUP(A7,saisie!B$5:W$44,5,0)</f>
        <v>#N/A</v>
      </c>
      <c r="F7" s="149" t="e">
        <f>VLOOKUP(A7,saisie!B$5:W$44,6,0)</f>
        <v>#N/A</v>
      </c>
      <c r="G7" s="150" t="e">
        <f t="shared" si="0"/>
        <v>#N/A</v>
      </c>
      <c r="H7" s="87" t="e">
        <f>VLOOKUP(A7,saisie!B$5:W$44,8,0)</f>
        <v>#N/A</v>
      </c>
      <c r="I7" s="83" t="e">
        <f>VLOOKUP(A7,saisie!B$5:W$44,9,0)</f>
        <v>#N/A</v>
      </c>
      <c r="J7" s="149" t="e">
        <f>VLOOKUP(A7,saisie!B$5:W$44,10,0)</f>
        <v>#N/A</v>
      </c>
      <c r="K7" s="149" t="e">
        <f>VLOOKUP(A7,saisie!B$5:W$44,11,0)</f>
        <v>#N/A</v>
      </c>
      <c r="L7" s="150" t="e">
        <f t="shared" si="1"/>
        <v>#N/A</v>
      </c>
      <c r="M7" s="87" t="e">
        <f>VLOOKUP(A7,saisie!B$5:W$44,13,0)</f>
        <v>#N/A</v>
      </c>
      <c r="N7" s="83" t="e">
        <f>VLOOKUP(A7,saisie!B$5:W$44,14,0)</f>
        <v>#N/A</v>
      </c>
      <c r="O7" s="149" t="e">
        <f>VLOOKUP(A7,saisie!B$5:W$44,15,0)</f>
        <v>#N/A</v>
      </c>
      <c r="P7" s="149" t="e">
        <f>VLOOKUP(A7,saisie!B$5:W$44,16,0)</f>
        <v>#N/A</v>
      </c>
      <c r="Q7" s="150" t="e">
        <f t="shared" si="2"/>
        <v>#N/A</v>
      </c>
      <c r="R7" s="87" t="e">
        <f>VLOOKUP(A7,saisie!B$5:W$44,18,0)</f>
        <v>#N/A</v>
      </c>
      <c r="S7" s="151" t="e">
        <f t="shared" si="3"/>
        <v>#N/A</v>
      </c>
      <c r="T7" s="88" t="e">
        <f>VLOOKUP(A7,saisie!B$5:W$44,20,0)</f>
        <v>#N/A</v>
      </c>
    </row>
    <row r="8" spans="1:26" s="89" customFormat="1" ht="47.1" customHeight="1" x14ac:dyDescent="0.2">
      <c r="A8" s="85" t="str">
        <f>IF(INFO!B8&gt;3,4,"")</f>
        <v/>
      </c>
      <c r="B8" s="139" t="e">
        <f>VLOOKUP(A8,saisie!B$5:W$44,2,0)</f>
        <v>#N/A</v>
      </c>
      <c r="C8" s="86" t="e">
        <f>VLOOKUP(A8,saisie!B$5:W$44,3,0)</f>
        <v>#N/A</v>
      </c>
      <c r="D8" s="83" t="e">
        <f>VLOOKUP(A8,saisie!B$5:W$44,4,0)</f>
        <v>#N/A</v>
      </c>
      <c r="E8" s="149" t="e">
        <f>VLOOKUP(A8,saisie!B$5:W$44,5,0)</f>
        <v>#N/A</v>
      </c>
      <c r="F8" s="149" t="e">
        <f>VLOOKUP(A8,saisie!B$5:W$44,6,0)</f>
        <v>#N/A</v>
      </c>
      <c r="G8" s="150" t="e">
        <f t="shared" si="0"/>
        <v>#N/A</v>
      </c>
      <c r="H8" s="87" t="e">
        <f>VLOOKUP(A8,saisie!B$5:W$44,8,0)</f>
        <v>#N/A</v>
      </c>
      <c r="I8" s="83" t="e">
        <f>VLOOKUP(A8,saisie!B$5:W$44,9,0)</f>
        <v>#N/A</v>
      </c>
      <c r="J8" s="149" t="e">
        <f>VLOOKUP(A8,saisie!B$5:W$44,10,0)</f>
        <v>#N/A</v>
      </c>
      <c r="K8" s="149" t="e">
        <f>VLOOKUP(A8,saisie!B$5:W$44,11,0)</f>
        <v>#N/A</v>
      </c>
      <c r="L8" s="150" t="e">
        <f t="shared" si="1"/>
        <v>#N/A</v>
      </c>
      <c r="M8" s="87" t="e">
        <f>VLOOKUP(A8,saisie!B$5:W$44,13,0)</f>
        <v>#N/A</v>
      </c>
      <c r="N8" s="83" t="e">
        <f>VLOOKUP(A8,saisie!B$5:W$44,14,0)</f>
        <v>#N/A</v>
      </c>
      <c r="O8" s="149" t="e">
        <f>VLOOKUP(A8,saisie!B$5:W$44,15,0)</f>
        <v>#N/A</v>
      </c>
      <c r="P8" s="149" t="e">
        <f>VLOOKUP(A8,saisie!B$5:W$44,16,0)</f>
        <v>#N/A</v>
      </c>
      <c r="Q8" s="150" t="e">
        <f t="shared" si="2"/>
        <v>#N/A</v>
      </c>
      <c r="R8" s="87" t="e">
        <f>VLOOKUP(A8,saisie!B$5:W$44,18,0)</f>
        <v>#N/A</v>
      </c>
      <c r="S8" s="151" t="e">
        <f t="shared" si="3"/>
        <v>#N/A</v>
      </c>
      <c r="T8" s="88" t="e">
        <f>VLOOKUP(A8,saisie!B$5:W$44,20,0)</f>
        <v>#N/A</v>
      </c>
    </row>
    <row r="9" spans="1:26" s="89" customFormat="1" ht="47.1" customHeight="1" x14ac:dyDescent="0.2">
      <c r="A9" s="85" t="str">
        <f>IF(INFO!B8&gt;4,5,"")</f>
        <v/>
      </c>
      <c r="B9" s="139" t="e">
        <f>VLOOKUP(A9,saisie!B$5:W$44,2,0)</f>
        <v>#N/A</v>
      </c>
      <c r="C9" s="86" t="e">
        <f>VLOOKUP(A9,saisie!B$5:W$44,3,0)</f>
        <v>#N/A</v>
      </c>
      <c r="D9" s="83" t="e">
        <f>VLOOKUP(A9,saisie!B$5:W$44,4,0)</f>
        <v>#N/A</v>
      </c>
      <c r="E9" s="149" t="e">
        <f>VLOOKUP(A9,saisie!B$5:W$44,5,0)</f>
        <v>#N/A</v>
      </c>
      <c r="F9" s="149" t="e">
        <f>VLOOKUP(A9,saisie!B$5:W$44,6,0)</f>
        <v>#N/A</v>
      </c>
      <c r="G9" s="150" t="e">
        <f t="shared" si="0"/>
        <v>#N/A</v>
      </c>
      <c r="H9" s="87" t="e">
        <f>VLOOKUP(A9,saisie!B$5:W$44,8,0)</f>
        <v>#N/A</v>
      </c>
      <c r="I9" s="83" t="e">
        <f>VLOOKUP(A9,saisie!B$5:W$44,9,0)</f>
        <v>#N/A</v>
      </c>
      <c r="J9" s="149" t="e">
        <f>VLOOKUP(A9,saisie!B$5:W$44,10,0)</f>
        <v>#N/A</v>
      </c>
      <c r="K9" s="149" t="e">
        <f>VLOOKUP(A9,saisie!B$5:W$44,11,0)</f>
        <v>#N/A</v>
      </c>
      <c r="L9" s="150" t="e">
        <f t="shared" si="1"/>
        <v>#N/A</v>
      </c>
      <c r="M9" s="87" t="e">
        <f>VLOOKUP(A9,saisie!B$5:W$44,13,0)</f>
        <v>#N/A</v>
      </c>
      <c r="N9" s="83" t="e">
        <f>VLOOKUP(A9,saisie!B$5:W$44,14,0)</f>
        <v>#N/A</v>
      </c>
      <c r="O9" s="149" t="e">
        <f>VLOOKUP(A9,saisie!B$5:W$44,15,0)</f>
        <v>#N/A</v>
      </c>
      <c r="P9" s="149" t="e">
        <f>VLOOKUP(A9,saisie!B$5:W$44,16,0)</f>
        <v>#N/A</v>
      </c>
      <c r="Q9" s="150" t="e">
        <f t="shared" si="2"/>
        <v>#N/A</v>
      </c>
      <c r="R9" s="87" t="e">
        <f>VLOOKUP(A9,saisie!B$5:W$44,18,0)</f>
        <v>#N/A</v>
      </c>
      <c r="S9" s="151" t="e">
        <f t="shared" si="3"/>
        <v>#N/A</v>
      </c>
      <c r="T9" s="88" t="e">
        <f>VLOOKUP(A9,saisie!B$5:W$44,20,0)</f>
        <v>#N/A</v>
      </c>
    </row>
    <row r="10" spans="1:26" s="89" customFormat="1" ht="47.1" customHeight="1" x14ac:dyDescent="0.2">
      <c r="A10" s="85" t="str">
        <f>IF(INFO!B8&gt;5,6,"")</f>
        <v/>
      </c>
      <c r="B10" s="139" t="e">
        <f>VLOOKUP(A10,saisie!B$5:W$44,2,0)</f>
        <v>#N/A</v>
      </c>
      <c r="C10" s="86" t="e">
        <f>VLOOKUP(A10,saisie!B$5:W$44,3,0)</f>
        <v>#N/A</v>
      </c>
      <c r="D10" s="83" t="e">
        <f>VLOOKUP(A10,saisie!B$5:W$44,4,0)</f>
        <v>#N/A</v>
      </c>
      <c r="E10" s="149" t="e">
        <f>VLOOKUP(A10,saisie!B$5:W$44,5,0)</f>
        <v>#N/A</v>
      </c>
      <c r="F10" s="149" t="e">
        <f>VLOOKUP(A10,saisie!B$5:W$44,6,0)</f>
        <v>#N/A</v>
      </c>
      <c r="G10" s="150" t="e">
        <f t="shared" si="0"/>
        <v>#N/A</v>
      </c>
      <c r="H10" s="87" t="e">
        <f>VLOOKUP(A10,saisie!B$5:W$44,8,0)</f>
        <v>#N/A</v>
      </c>
      <c r="I10" s="83" t="e">
        <f>VLOOKUP(A10,saisie!B$5:W$44,9,0)</f>
        <v>#N/A</v>
      </c>
      <c r="J10" s="149" t="e">
        <f>VLOOKUP(A10,saisie!B$5:W$44,10,0)</f>
        <v>#N/A</v>
      </c>
      <c r="K10" s="149" t="e">
        <f>VLOOKUP(A10,saisie!B$5:W$44,11,0)</f>
        <v>#N/A</v>
      </c>
      <c r="L10" s="150" t="e">
        <f t="shared" si="1"/>
        <v>#N/A</v>
      </c>
      <c r="M10" s="87" t="e">
        <f>VLOOKUP(A10,saisie!B$5:W$44,13,0)</f>
        <v>#N/A</v>
      </c>
      <c r="N10" s="83" t="e">
        <f>VLOOKUP(A10,saisie!B$5:W$44,14,0)</f>
        <v>#N/A</v>
      </c>
      <c r="O10" s="149" t="e">
        <f>VLOOKUP(A10,saisie!B$5:W$44,15,0)</f>
        <v>#N/A</v>
      </c>
      <c r="P10" s="149" t="e">
        <f>VLOOKUP(A10,saisie!B$5:W$44,16,0)</f>
        <v>#N/A</v>
      </c>
      <c r="Q10" s="150" t="e">
        <f t="shared" si="2"/>
        <v>#N/A</v>
      </c>
      <c r="R10" s="87" t="e">
        <f>VLOOKUP(A10,saisie!B$5:W$44,18,0)</f>
        <v>#N/A</v>
      </c>
      <c r="S10" s="151" t="e">
        <f t="shared" si="3"/>
        <v>#N/A</v>
      </c>
      <c r="T10" s="88" t="e">
        <f>VLOOKUP(A10,saisie!B$5:W$44,20,0)</f>
        <v>#N/A</v>
      </c>
    </row>
    <row r="11" spans="1:26" s="89" customFormat="1" ht="47.1" customHeight="1" x14ac:dyDescent="0.2">
      <c r="A11" s="85" t="str">
        <f>IF(INFO!B8&gt;6,7,"")</f>
        <v/>
      </c>
      <c r="B11" s="139" t="e">
        <f>VLOOKUP(A11,saisie!B$5:W$44,2,0)</f>
        <v>#N/A</v>
      </c>
      <c r="C11" s="86" t="e">
        <f>VLOOKUP(A11,saisie!B$5:W$44,3,0)</f>
        <v>#N/A</v>
      </c>
      <c r="D11" s="83" t="e">
        <f>VLOOKUP(A11,saisie!B$5:W$44,4,0)</f>
        <v>#N/A</v>
      </c>
      <c r="E11" s="149" t="e">
        <f>VLOOKUP(A11,saisie!B$5:W$44,5,0)</f>
        <v>#N/A</v>
      </c>
      <c r="F11" s="149" t="e">
        <f>VLOOKUP(A11,saisie!B$5:W$44,6,0)</f>
        <v>#N/A</v>
      </c>
      <c r="G11" s="150" t="e">
        <f t="shared" si="0"/>
        <v>#N/A</v>
      </c>
      <c r="H11" s="87" t="e">
        <f>VLOOKUP(A11,saisie!B$5:W$44,8,0)</f>
        <v>#N/A</v>
      </c>
      <c r="I11" s="83" t="e">
        <f>VLOOKUP(A11,saisie!B$5:W$44,9,0)</f>
        <v>#N/A</v>
      </c>
      <c r="J11" s="149" t="e">
        <f>VLOOKUP(A11,saisie!B$5:W$44,10,0)</f>
        <v>#N/A</v>
      </c>
      <c r="K11" s="149" t="e">
        <f>VLOOKUP(A11,saisie!B$5:W$44,11,0)</f>
        <v>#N/A</v>
      </c>
      <c r="L11" s="150" t="e">
        <f t="shared" si="1"/>
        <v>#N/A</v>
      </c>
      <c r="M11" s="87" t="e">
        <f>VLOOKUP(A11,saisie!B$5:W$44,13,0)</f>
        <v>#N/A</v>
      </c>
      <c r="N11" s="83" t="e">
        <f>VLOOKUP(A11,saisie!B$5:W$44,14,0)</f>
        <v>#N/A</v>
      </c>
      <c r="O11" s="149" t="e">
        <f>VLOOKUP(A11,saisie!B$5:W$44,15,0)</f>
        <v>#N/A</v>
      </c>
      <c r="P11" s="149" t="e">
        <f>VLOOKUP(A11,saisie!B$5:W$44,16,0)</f>
        <v>#N/A</v>
      </c>
      <c r="Q11" s="150" t="e">
        <f t="shared" si="2"/>
        <v>#N/A</v>
      </c>
      <c r="R11" s="87" t="e">
        <f>VLOOKUP(A11,saisie!B$5:W$44,18,0)</f>
        <v>#N/A</v>
      </c>
      <c r="S11" s="151" t="e">
        <f t="shared" si="3"/>
        <v>#N/A</v>
      </c>
      <c r="T11" s="88" t="e">
        <f>VLOOKUP(A11,saisie!B$5:W$44,20,0)</f>
        <v>#N/A</v>
      </c>
    </row>
    <row r="12" spans="1:26" s="89" customFormat="1" ht="47.1" customHeight="1" x14ac:dyDescent="0.2">
      <c r="A12" s="85" t="str">
        <f>IF(INFO!B8&gt;7,8,"")</f>
        <v/>
      </c>
      <c r="B12" s="139" t="e">
        <f>VLOOKUP(A12,saisie!B$5:W$44,2,0)</f>
        <v>#N/A</v>
      </c>
      <c r="C12" s="86" t="e">
        <f>VLOOKUP(A12,saisie!B$5:W$44,3,0)</f>
        <v>#N/A</v>
      </c>
      <c r="D12" s="83" t="e">
        <f>VLOOKUP(A12,saisie!B$5:W$44,4,0)</f>
        <v>#N/A</v>
      </c>
      <c r="E12" s="149" t="e">
        <f>VLOOKUP(A12,saisie!B$5:W$44,5,0)</f>
        <v>#N/A</v>
      </c>
      <c r="F12" s="149" t="e">
        <f>VLOOKUP(A12,saisie!B$5:W$44,6,0)</f>
        <v>#N/A</v>
      </c>
      <c r="G12" s="150" t="e">
        <f t="shared" si="0"/>
        <v>#N/A</v>
      </c>
      <c r="H12" s="87" t="e">
        <f>VLOOKUP(A12,saisie!B$5:W$44,8,0)</f>
        <v>#N/A</v>
      </c>
      <c r="I12" s="83" t="e">
        <f>VLOOKUP(A12,saisie!B$5:W$44,9,0)</f>
        <v>#N/A</v>
      </c>
      <c r="J12" s="149" t="e">
        <f>VLOOKUP(A12,saisie!B$5:W$44,10,0)</f>
        <v>#N/A</v>
      </c>
      <c r="K12" s="149" t="e">
        <f>VLOOKUP(A12,saisie!B$5:W$44,11,0)</f>
        <v>#N/A</v>
      </c>
      <c r="L12" s="150" t="e">
        <f t="shared" si="1"/>
        <v>#N/A</v>
      </c>
      <c r="M12" s="87" t="e">
        <f>VLOOKUP(A12,saisie!B$5:W$44,13,0)</f>
        <v>#N/A</v>
      </c>
      <c r="N12" s="83" t="e">
        <f>VLOOKUP(A12,saisie!B$5:W$44,14,0)</f>
        <v>#N/A</v>
      </c>
      <c r="O12" s="149" t="e">
        <f>VLOOKUP(A12,saisie!B$5:W$44,15,0)</f>
        <v>#N/A</v>
      </c>
      <c r="P12" s="149" t="e">
        <f>VLOOKUP(A12,saisie!B$5:W$44,16,0)</f>
        <v>#N/A</v>
      </c>
      <c r="Q12" s="150" t="e">
        <f t="shared" si="2"/>
        <v>#N/A</v>
      </c>
      <c r="R12" s="87" t="e">
        <f>VLOOKUP(A12,saisie!B$5:W$44,18,0)</f>
        <v>#N/A</v>
      </c>
      <c r="S12" s="151" t="e">
        <f t="shared" si="3"/>
        <v>#N/A</v>
      </c>
      <c r="T12" s="88" t="e">
        <f>VLOOKUP(A12,saisie!B$5:W$44,20,0)</f>
        <v>#N/A</v>
      </c>
    </row>
    <row r="13" spans="1:26" s="89" customFormat="1" ht="47.1" customHeight="1" x14ac:dyDescent="0.2">
      <c r="A13" s="85" t="str">
        <f>IF(INFO!B8&gt;8,9,"")</f>
        <v/>
      </c>
      <c r="B13" s="139" t="e">
        <f>VLOOKUP(A13,saisie!B$5:W$44,2,0)</f>
        <v>#N/A</v>
      </c>
      <c r="C13" s="86" t="e">
        <f>VLOOKUP(A13,saisie!B$5:W$44,3,0)</f>
        <v>#N/A</v>
      </c>
      <c r="D13" s="83" t="e">
        <f>VLOOKUP(A13,saisie!B$5:W$44,4,0)</f>
        <v>#N/A</v>
      </c>
      <c r="E13" s="149" t="e">
        <f>VLOOKUP(A13,saisie!B$5:W$44,5,0)</f>
        <v>#N/A</v>
      </c>
      <c r="F13" s="149" t="e">
        <f>VLOOKUP(A13,saisie!B$5:W$44,6,0)</f>
        <v>#N/A</v>
      </c>
      <c r="G13" s="150" t="e">
        <f t="shared" si="0"/>
        <v>#N/A</v>
      </c>
      <c r="H13" s="87" t="e">
        <f>VLOOKUP(A13,saisie!B$5:W$44,8,0)</f>
        <v>#N/A</v>
      </c>
      <c r="I13" s="83" t="e">
        <f>VLOOKUP(A13,saisie!B$5:W$44,9,0)</f>
        <v>#N/A</v>
      </c>
      <c r="J13" s="149" t="e">
        <f>VLOOKUP(A13,saisie!B$5:W$44,10,0)</f>
        <v>#N/A</v>
      </c>
      <c r="K13" s="149" t="e">
        <f>VLOOKUP(A13,saisie!B$5:W$44,11,0)</f>
        <v>#N/A</v>
      </c>
      <c r="L13" s="150" t="e">
        <f t="shared" si="1"/>
        <v>#N/A</v>
      </c>
      <c r="M13" s="87" t="e">
        <f>VLOOKUP(A13,saisie!B$5:W$44,13,0)</f>
        <v>#N/A</v>
      </c>
      <c r="N13" s="83" t="e">
        <f>VLOOKUP(A13,saisie!B$5:W$44,14,0)</f>
        <v>#N/A</v>
      </c>
      <c r="O13" s="149" t="e">
        <f>VLOOKUP(A13,saisie!B$5:W$44,15,0)</f>
        <v>#N/A</v>
      </c>
      <c r="P13" s="149" t="e">
        <f>VLOOKUP(A13,saisie!B$5:W$44,16,0)</f>
        <v>#N/A</v>
      </c>
      <c r="Q13" s="150" t="e">
        <f t="shared" si="2"/>
        <v>#N/A</v>
      </c>
      <c r="R13" s="87" t="e">
        <f>VLOOKUP(A13,saisie!B$5:W$44,18,0)</f>
        <v>#N/A</v>
      </c>
      <c r="S13" s="151" t="e">
        <f t="shared" si="3"/>
        <v>#N/A</v>
      </c>
      <c r="T13" s="88" t="e">
        <f>VLOOKUP(A13,saisie!B$5:W$44,20,0)</f>
        <v>#N/A</v>
      </c>
    </row>
    <row r="14" spans="1:26" s="89" customFormat="1" ht="47.1" customHeight="1" x14ac:dyDescent="0.2">
      <c r="A14" s="85" t="str">
        <f>IF(INFO!B8&gt;9,10,"")</f>
        <v/>
      </c>
      <c r="B14" s="139" t="e">
        <f>VLOOKUP(A14,saisie!B$5:W$44,2,0)</f>
        <v>#N/A</v>
      </c>
      <c r="C14" s="86" t="e">
        <f>VLOOKUP(A14,saisie!B$5:W$44,3,0)</f>
        <v>#N/A</v>
      </c>
      <c r="D14" s="83" t="e">
        <f>VLOOKUP(A14,saisie!B$5:W$44,4,0)</f>
        <v>#N/A</v>
      </c>
      <c r="E14" s="149" t="e">
        <f>VLOOKUP(A14,saisie!B$5:W$44,5,0)</f>
        <v>#N/A</v>
      </c>
      <c r="F14" s="149" t="e">
        <f>VLOOKUP(A14,saisie!B$5:W$44,6,0)</f>
        <v>#N/A</v>
      </c>
      <c r="G14" s="150" t="e">
        <f t="shared" si="0"/>
        <v>#N/A</v>
      </c>
      <c r="H14" s="87" t="e">
        <f>VLOOKUP(A14,saisie!B$5:W$44,8,0)</f>
        <v>#N/A</v>
      </c>
      <c r="I14" s="83" t="e">
        <f>VLOOKUP(A14,saisie!B$5:W$44,9,0)</f>
        <v>#N/A</v>
      </c>
      <c r="J14" s="149" t="e">
        <f>VLOOKUP(A14,saisie!B$5:W$44,10,0)</f>
        <v>#N/A</v>
      </c>
      <c r="K14" s="149" t="e">
        <f>VLOOKUP(A14,saisie!B$5:W$44,11,0)</f>
        <v>#N/A</v>
      </c>
      <c r="L14" s="150" t="e">
        <f t="shared" si="1"/>
        <v>#N/A</v>
      </c>
      <c r="M14" s="87" t="e">
        <f>VLOOKUP(A14,saisie!B$5:W$44,13,0)</f>
        <v>#N/A</v>
      </c>
      <c r="N14" s="83" t="e">
        <f>VLOOKUP(A14,saisie!B$5:W$44,14,0)</f>
        <v>#N/A</v>
      </c>
      <c r="O14" s="149" t="e">
        <f>VLOOKUP(A14,saisie!B$5:W$44,15,0)</f>
        <v>#N/A</v>
      </c>
      <c r="P14" s="149" t="e">
        <f>VLOOKUP(A14,saisie!B$5:W$44,16,0)</f>
        <v>#N/A</v>
      </c>
      <c r="Q14" s="150" t="e">
        <f t="shared" si="2"/>
        <v>#N/A</v>
      </c>
      <c r="R14" s="87" t="e">
        <f>VLOOKUP(A14,saisie!B$5:W$44,18,0)</f>
        <v>#N/A</v>
      </c>
      <c r="S14" s="151" t="e">
        <f t="shared" si="3"/>
        <v>#N/A</v>
      </c>
      <c r="T14" s="88" t="e">
        <f>VLOOKUP(A14,saisie!B$5:W$44,20,0)</f>
        <v>#N/A</v>
      </c>
    </row>
    <row r="15" spans="1:26" s="89" customFormat="1" ht="47.1" customHeight="1" x14ac:dyDescent="0.2">
      <c r="A15" s="85" t="str">
        <f>IF(INFO!B8&gt;10,11,"")</f>
        <v/>
      </c>
      <c r="B15" s="139" t="e">
        <f>VLOOKUP(A15,saisie!B$5:W$44,2,0)</f>
        <v>#N/A</v>
      </c>
      <c r="C15" s="86" t="e">
        <f>VLOOKUP(A15,saisie!B$5:W$44,3,0)</f>
        <v>#N/A</v>
      </c>
      <c r="D15" s="83" t="e">
        <f>VLOOKUP(A15,saisie!B$5:W$44,4,0)</f>
        <v>#N/A</v>
      </c>
      <c r="E15" s="149" t="e">
        <f>VLOOKUP(A15,saisie!B$5:W$44,5,0)</f>
        <v>#N/A</v>
      </c>
      <c r="F15" s="149" t="e">
        <f>VLOOKUP(A15,saisie!B$5:W$44,6,0)</f>
        <v>#N/A</v>
      </c>
      <c r="G15" s="150" t="e">
        <f t="shared" si="0"/>
        <v>#N/A</v>
      </c>
      <c r="H15" s="87" t="e">
        <f>VLOOKUP(A15,saisie!B$5:W$44,8,0)</f>
        <v>#N/A</v>
      </c>
      <c r="I15" s="83" t="e">
        <f>VLOOKUP(A15,saisie!B$5:W$44,9,0)</f>
        <v>#N/A</v>
      </c>
      <c r="J15" s="149" t="e">
        <f>VLOOKUP(A15,saisie!B$5:W$44,10,0)</f>
        <v>#N/A</v>
      </c>
      <c r="K15" s="149" t="e">
        <f>VLOOKUP(A15,saisie!B$5:W$44,11,0)</f>
        <v>#N/A</v>
      </c>
      <c r="L15" s="150" t="e">
        <f t="shared" si="1"/>
        <v>#N/A</v>
      </c>
      <c r="M15" s="87" t="e">
        <f>VLOOKUP(A15,saisie!B$5:W$44,13,0)</f>
        <v>#N/A</v>
      </c>
      <c r="N15" s="83" t="e">
        <f>VLOOKUP(A15,saisie!B$5:W$44,14,0)</f>
        <v>#N/A</v>
      </c>
      <c r="O15" s="149" t="e">
        <f>VLOOKUP(A15,saisie!B$5:W$44,15,0)</f>
        <v>#N/A</v>
      </c>
      <c r="P15" s="149" t="e">
        <f>VLOOKUP(A15,saisie!B$5:W$44,16,0)</f>
        <v>#N/A</v>
      </c>
      <c r="Q15" s="150" t="e">
        <f t="shared" si="2"/>
        <v>#N/A</v>
      </c>
      <c r="R15" s="87" t="e">
        <f>VLOOKUP(A15,saisie!B$5:W$44,18,0)</f>
        <v>#N/A</v>
      </c>
      <c r="S15" s="151" t="e">
        <f t="shared" si="3"/>
        <v>#N/A</v>
      </c>
      <c r="T15" s="88" t="e">
        <f>VLOOKUP(A15,saisie!B$5:W$44,20,0)</f>
        <v>#N/A</v>
      </c>
    </row>
    <row r="16" spans="1:26" s="89" customFormat="1" ht="47.1" customHeight="1" x14ac:dyDescent="0.2">
      <c r="A16" s="85" t="str">
        <f>IF(INFO!B8&gt;11,12,"")</f>
        <v/>
      </c>
      <c r="B16" s="139" t="e">
        <f>VLOOKUP(A16,saisie!B$5:W$44,2,0)</f>
        <v>#N/A</v>
      </c>
      <c r="C16" s="86" t="e">
        <f>VLOOKUP(A16,saisie!B$5:W$44,3,0)</f>
        <v>#N/A</v>
      </c>
      <c r="D16" s="83" t="e">
        <f>VLOOKUP(A16,saisie!B$5:W$44,4,0)</f>
        <v>#N/A</v>
      </c>
      <c r="E16" s="149" t="e">
        <f>VLOOKUP(A16,saisie!B$5:W$44,5,0)</f>
        <v>#N/A</v>
      </c>
      <c r="F16" s="149" t="e">
        <f>VLOOKUP(A16,saisie!B$5:W$44,6,0)</f>
        <v>#N/A</v>
      </c>
      <c r="G16" s="150" t="e">
        <f t="shared" si="0"/>
        <v>#N/A</v>
      </c>
      <c r="H16" s="87" t="e">
        <f>VLOOKUP(A16,saisie!B$5:W$44,8,0)</f>
        <v>#N/A</v>
      </c>
      <c r="I16" s="83" t="e">
        <f>VLOOKUP(A16,saisie!B$5:W$44,9,0)</f>
        <v>#N/A</v>
      </c>
      <c r="J16" s="149" t="e">
        <f>VLOOKUP(A16,saisie!B$5:W$44,10,0)</f>
        <v>#N/A</v>
      </c>
      <c r="K16" s="149" t="e">
        <f>VLOOKUP(A16,saisie!B$5:W$44,11,0)</f>
        <v>#N/A</v>
      </c>
      <c r="L16" s="150" t="e">
        <f t="shared" si="1"/>
        <v>#N/A</v>
      </c>
      <c r="M16" s="87" t="e">
        <f>VLOOKUP(A16,saisie!B$5:W$44,13,0)</f>
        <v>#N/A</v>
      </c>
      <c r="N16" s="83" t="e">
        <f>VLOOKUP(A16,saisie!B$5:W$44,14,0)</f>
        <v>#N/A</v>
      </c>
      <c r="O16" s="149" t="e">
        <f>VLOOKUP(A16,saisie!B$5:W$44,15,0)</f>
        <v>#N/A</v>
      </c>
      <c r="P16" s="149" t="e">
        <f>VLOOKUP(A16,saisie!B$5:W$44,16,0)</f>
        <v>#N/A</v>
      </c>
      <c r="Q16" s="150" t="e">
        <f t="shared" si="2"/>
        <v>#N/A</v>
      </c>
      <c r="R16" s="87" t="e">
        <f>VLOOKUP(A16,saisie!B$5:W$44,18,0)</f>
        <v>#N/A</v>
      </c>
      <c r="S16" s="151" t="e">
        <f t="shared" si="3"/>
        <v>#N/A</v>
      </c>
      <c r="T16" s="88" t="e">
        <f>VLOOKUP(A16,saisie!B$5:W$44,20,0)</f>
        <v>#N/A</v>
      </c>
    </row>
    <row r="17" spans="1:20" s="89" customFormat="1" ht="47.1" customHeight="1" x14ac:dyDescent="0.2">
      <c r="A17" s="85" t="str">
        <f>IF(INFO!B8&gt;12,13,"")</f>
        <v/>
      </c>
      <c r="B17" s="139" t="e">
        <f>VLOOKUP(A17,saisie!B$5:W$44,2,0)</f>
        <v>#N/A</v>
      </c>
      <c r="C17" s="86" t="e">
        <f>VLOOKUP(A17,saisie!B$5:W$44,3,0)</f>
        <v>#N/A</v>
      </c>
      <c r="D17" s="83" t="e">
        <f>VLOOKUP(A17,saisie!B$5:W$44,4,0)</f>
        <v>#N/A</v>
      </c>
      <c r="E17" s="149" t="e">
        <f>VLOOKUP(A17,saisie!B$5:W$44,5,0)</f>
        <v>#N/A</v>
      </c>
      <c r="F17" s="149" t="e">
        <f>VLOOKUP(A17,saisie!B$5:W$44,6,0)</f>
        <v>#N/A</v>
      </c>
      <c r="G17" s="150" t="e">
        <f t="shared" si="0"/>
        <v>#N/A</v>
      </c>
      <c r="H17" s="87" t="e">
        <f>VLOOKUP(A17,saisie!B$5:W$44,8,0)</f>
        <v>#N/A</v>
      </c>
      <c r="I17" s="83" t="e">
        <f>VLOOKUP(A17,saisie!B$5:W$44,9,0)</f>
        <v>#N/A</v>
      </c>
      <c r="J17" s="149" t="e">
        <f>VLOOKUP(A17,saisie!B$5:W$44,10,0)</f>
        <v>#N/A</v>
      </c>
      <c r="K17" s="149" t="e">
        <f>VLOOKUP(A17,saisie!B$5:W$44,11,0)</f>
        <v>#N/A</v>
      </c>
      <c r="L17" s="150" t="e">
        <f t="shared" si="1"/>
        <v>#N/A</v>
      </c>
      <c r="M17" s="87" t="e">
        <f>VLOOKUP(A17,saisie!B$5:W$44,13,0)</f>
        <v>#N/A</v>
      </c>
      <c r="N17" s="83" t="e">
        <f>VLOOKUP(A17,saisie!B$5:W$44,14,0)</f>
        <v>#N/A</v>
      </c>
      <c r="O17" s="149" t="e">
        <f>VLOOKUP(A17,saisie!B$5:W$44,15,0)</f>
        <v>#N/A</v>
      </c>
      <c r="P17" s="149" t="e">
        <f>VLOOKUP(A17,saisie!B$5:W$44,16,0)</f>
        <v>#N/A</v>
      </c>
      <c r="Q17" s="150" t="e">
        <f t="shared" si="2"/>
        <v>#N/A</v>
      </c>
      <c r="R17" s="87" t="e">
        <f>VLOOKUP(A17,saisie!B$5:W$44,18,0)</f>
        <v>#N/A</v>
      </c>
      <c r="S17" s="151" t="e">
        <f t="shared" si="3"/>
        <v>#N/A</v>
      </c>
      <c r="T17" s="88" t="e">
        <f>VLOOKUP(A17,saisie!B$5:W$44,20,0)</f>
        <v>#N/A</v>
      </c>
    </row>
    <row r="18" spans="1:20" s="89" customFormat="1" ht="47.1" customHeight="1" x14ac:dyDescent="0.2">
      <c r="A18" s="85" t="str">
        <f>IF(INFO!B8&gt;13,14,"")</f>
        <v/>
      </c>
      <c r="B18" s="139" t="e">
        <f>VLOOKUP(A18,saisie!B$5:W$44,2,0)</f>
        <v>#N/A</v>
      </c>
      <c r="C18" s="86" t="e">
        <f>VLOOKUP(A18,saisie!B$5:W$44,3,0)</f>
        <v>#N/A</v>
      </c>
      <c r="D18" s="83" t="e">
        <f>VLOOKUP(A18,saisie!B$5:W$44,4,0)</f>
        <v>#N/A</v>
      </c>
      <c r="E18" s="149" t="e">
        <f>VLOOKUP(A18,saisie!B$5:W$44,5,0)</f>
        <v>#N/A</v>
      </c>
      <c r="F18" s="149" t="e">
        <f>VLOOKUP(A18,saisie!B$5:W$44,6,0)</f>
        <v>#N/A</v>
      </c>
      <c r="G18" s="150" t="e">
        <f t="shared" si="0"/>
        <v>#N/A</v>
      </c>
      <c r="H18" s="87" t="e">
        <f>VLOOKUP(A18,saisie!B$5:W$44,8,0)</f>
        <v>#N/A</v>
      </c>
      <c r="I18" s="83" t="e">
        <f>VLOOKUP(A18,saisie!B$5:W$44,9,0)</f>
        <v>#N/A</v>
      </c>
      <c r="J18" s="149" t="e">
        <f>VLOOKUP(A18,saisie!B$5:W$44,10,0)</f>
        <v>#N/A</v>
      </c>
      <c r="K18" s="149" t="e">
        <f>VLOOKUP(A18,saisie!B$5:W$44,11,0)</f>
        <v>#N/A</v>
      </c>
      <c r="L18" s="150" t="e">
        <f t="shared" si="1"/>
        <v>#N/A</v>
      </c>
      <c r="M18" s="87" t="e">
        <f>VLOOKUP(A18,saisie!B$5:W$44,13,0)</f>
        <v>#N/A</v>
      </c>
      <c r="N18" s="83" t="e">
        <f>VLOOKUP(A18,saisie!B$5:W$44,14,0)</f>
        <v>#N/A</v>
      </c>
      <c r="O18" s="149" t="e">
        <f>VLOOKUP(A18,saisie!B$5:W$44,15,0)</f>
        <v>#N/A</v>
      </c>
      <c r="P18" s="149" t="e">
        <f>VLOOKUP(A18,saisie!B$5:W$44,16,0)</f>
        <v>#N/A</v>
      </c>
      <c r="Q18" s="150" t="e">
        <f t="shared" si="2"/>
        <v>#N/A</v>
      </c>
      <c r="R18" s="87" t="e">
        <f>VLOOKUP(A18,saisie!B$5:W$44,18,0)</f>
        <v>#N/A</v>
      </c>
      <c r="S18" s="151" t="e">
        <f t="shared" si="3"/>
        <v>#N/A</v>
      </c>
      <c r="T18" s="88" t="e">
        <f>VLOOKUP(A18,saisie!B$5:W$44,20,0)</f>
        <v>#N/A</v>
      </c>
    </row>
    <row r="19" spans="1:20" s="89" customFormat="1" ht="47.1" customHeight="1" x14ac:dyDescent="0.2">
      <c r="A19" s="85" t="str">
        <f>IF(INFO!B8&gt;14,15,"")</f>
        <v/>
      </c>
      <c r="B19" s="139" t="e">
        <f>VLOOKUP(A19,saisie!B$5:W$44,2,0)</f>
        <v>#N/A</v>
      </c>
      <c r="C19" s="86" t="e">
        <f>VLOOKUP(A19,saisie!B$5:W$44,3,0)</f>
        <v>#N/A</v>
      </c>
      <c r="D19" s="83" t="e">
        <f>VLOOKUP(A19,saisie!B$5:W$44,4,0)</f>
        <v>#N/A</v>
      </c>
      <c r="E19" s="149" t="e">
        <f>VLOOKUP(A19,saisie!B$5:W$44,5,0)</f>
        <v>#N/A</v>
      </c>
      <c r="F19" s="149" t="e">
        <f>VLOOKUP(A19,saisie!B$5:W$44,6,0)</f>
        <v>#N/A</v>
      </c>
      <c r="G19" s="150" t="e">
        <f t="shared" si="0"/>
        <v>#N/A</v>
      </c>
      <c r="H19" s="87" t="e">
        <f>VLOOKUP(A19,saisie!B$5:W$44,8,0)</f>
        <v>#N/A</v>
      </c>
      <c r="I19" s="83" t="e">
        <f>VLOOKUP(A19,saisie!B$5:W$44,9,0)</f>
        <v>#N/A</v>
      </c>
      <c r="J19" s="149" t="e">
        <f>VLOOKUP(A19,saisie!B$5:W$44,10,0)</f>
        <v>#N/A</v>
      </c>
      <c r="K19" s="149" t="e">
        <f>VLOOKUP(A19,saisie!B$5:W$44,11,0)</f>
        <v>#N/A</v>
      </c>
      <c r="L19" s="150" t="e">
        <f t="shared" si="1"/>
        <v>#N/A</v>
      </c>
      <c r="M19" s="87" t="e">
        <f>VLOOKUP(A19,saisie!B$5:W$44,13,0)</f>
        <v>#N/A</v>
      </c>
      <c r="N19" s="83" t="e">
        <f>VLOOKUP(A19,saisie!B$5:W$44,14,0)</f>
        <v>#N/A</v>
      </c>
      <c r="O19" s="149" t="e">
        <f>VLOOKUP(A19,saisie!B$5:W$44,15,0)</f>
        <v>#N/A</v>
      </c>
      <c r="P19" s="149" t="e">
        <f>VLOOKUP(A19,saisie!B$5:W$44,16,0)</f>
        <v>#N/A</v>
      </c>
      <c r="Q19" s="150" t="e">
        <f t="shared" si="2"/>
        <v>#N/A</v>
      </c>
      <c r="R19" s="87" t="e">
        <f>VLOOKUP(A19,saisie!B$5:W$44,18,0)</f>
        <v>#N/A</v>
      </c>
      <c r="S19" s="151" t="e">
        <f t="shared" si="3"/>
        <v>#N/A</v>
      </c>
      <c r="T19" s="88" t="e">
        <f>VLOOKUP(A19,saisie!B$5:W$44,20,0)</f>
        <v>#N/A</v>
      </c>
    </row>
    <row r="20" spans="1:20" s="89" customFormat="1" ht="47.1" customHeight="1" x14ac:dyDescent="0.2">
      <c r="A20" s="85" t="str">
        <f>IF(INFO!B8&gt;15,16,"")</f>
        <v/>
      </c>
      <c r="B20" s="139" t="e">
        <f>VLOOKUP(A20,saisie!B$5:W$44,2,0)</f>
        <v>#N/A</v>
      </c>
      <c r="C20" s="86" t="e">
        <f>VLOOKUP(A20,saisie!B$5:W$44,3,0)</f>
        <v>#N/A</v>
      </c>
      <c r="D20" s="83" t="e">
        <f>VLOOKUP(A20,saisie!B$5:W$44,4,0)</f>
        <v>#N/A</v>
      </c>
      <c r="E20" s="149" t="e">
        <f>VLOOKUP(A20,saisie!B$5:W$44,5,0)</f>
        <v>#N/A</v>
      </c>
      <c r="F20" s="149" t="e">
        <f>VLOOKUP(A20,saisie!B$5:W$44,6,0)</f>
        <v>#N/A</v>
      </c>
      <c r="G20" s="150" t="e">
        <f t="shared" si="0"/>
        <v>#N/A</v>
      </c>
      <c r="H20" s="87" t="e">
        <f>VLOOKUP(A20,saisie!B$5:W$44,8,0)</f>
        <v>#N/A</v>
      </c>
      <c r="I20" s="83" t="e">
        <f>VLOOKUP(A20,saisie!B$5:W$44,9,0)</f>
        <v>#N/A</v>
      </c>
      <c r="J20" s="149" t="e">
        <f>VLOOKUP(A20,saisie!B$5:W$44,10,0)</f>
        <v>#N/A</v>
      </c>
      <c r="K20" s="149" t="e">
        <f>VLOOKUP(A20,saisie!B$5:W$44,11,0)</f>
        <v>#N/A</v>
      </c>
      <c r="L20" s="150" t="e">
        <f t="shared" si="1"/>
        <v>#N/A</v>
      </c>
      <c r="M20" s="87" t="e">
        <f>VLOOKUP(A20,saisie!B$5:W$44,13,0)</f>
        <v>#N/A</v>
      </c>
      <c r="N20" s="83" t="e">
        <f>VLOOKUP(A20,saisie!B$5:W$44,14,0)</f>
        <v>#N/A</v>
      </c>
      <c r="O20" s="149" t="e">
        <f>VLOOKUP(A20,saisie!B$5:W$44,15,0)</f>
        <v>#N/A</v>
      </c>
      <c r="P20" s="149" t="e">
        <f>VLOOKUP(A20,saisie!B$5:W$44,16,0)</f>
        <v>#N/A</v>
      </c>
      <c r="Q20" s="150" t="e">
        <f t="shared" si="2"/>
        <v>#N/A</v>
      </c>
      <c r="R20" s="87" t="e">
        <f>VLOOKUP(A20,saisie!B$5:W$44,18,0)</f>
        <v>#N/A</v>
      </c>
      <c r="S20" s="151" t="e">
        <f t="shared" si="3"/>
        <v>#N/A</v>
      </c>
      <c r="T20" s="88" t="e">
        <f>VLOOKUP(A20,saisie!B$5:W$44,20,0)</f>
        <v>#N/A</v>
      </c>
    </row>
    <row r="21" spans="1:20" s="89" customFormat="1" ht="47.1" customHeight="1" x14ac:dyDescent="0.2">
      <c r="A21" s="85" t="str">
        <f>IF(INFO!B8&gt;16,17,"")</f>
        <v/>
      </c>
      <c r="B21" s="139" t="e">
        <f>VLOOKUP(A21,saisie!B$5:W$44,2,0)</f>
        <v>#N/A</v>
      </c>
      <c r="C21" s="86" t="e">
        <f>VLOOKUP(A21,saisie!B$5:W$44,3,0)</f>
        <v>#N/A</v>
      </c>
      <c r="D21" s="83" t="e">
        <f>VLOOKUP(A21,saisie!B$5:W$44,4,0)</f>
        <v>#N/A</v>
      </c>
      <c r="E21" s="149" t="e">
        <f>VLOOKUP(A21,saisie!B$5:W$44,5,0)</f>
        <v>#N/A</v>
      </c>
      <c r="F21" s="149" t="e">
        <f>VLOOKUP(A21,saisie!B$5:W$44,6,0)</f>
        <v>#N/A</v>
      </c>
      <c r="G21" s="150" t="e">
        <f t="shared" si="0"/>
        <v>#N/A</v>
      </c>
      <c r="H21" s="87" t="e">
        <f>VLOOKUP(A21,saisie!B$5:W$44,8,0)</f>
        <v>#N/A</v>
      </c>
      <c r="I21" s="83" t="e">
        <f>VLOOKUP(A21,saisie!B$5:W$44,9,0)</f>
        <v>#N/A</v>
      </c>
      <c r="J21" s="149" t="e">
        <f>VLOOKUP(A21,saisie!B$5:W$44,10,0)</f>
        <v>#N/A</v>
      </c>
      <c r="K21" s="149" t="e">
        <f>VLOOKUP(A21,saisie!B$5:W$44,11,0)</f>
        <v>#N/A</v>
      </c>
      <c r="L21" s="150" t="e">
        <f t="shared" si="1"/>
        <v>#N/A</v>
      </c>
      <c r="M21" s="87" t="e">
        <f>VLOOKUP(A21,saisie!B$5:W$44,13,0)</f>
        <v>#N/A</v>
      </c>
      <c r="N21" s="83" t="e">
        <f>VLOOKUP(A21,saisie!B$5:W$44,14,0)</f>
        <v>#N/A</v>
      </c>
      <c r="O21" s="149" t="e">
        <f>VLOOKUP(A21,saisie!B$5:W$44,15,0)</f>
        <v>#N/A</v>
      </c>
      <c r="P21" s="149" t="e">
        <f>VLOOKUP(A21,saisie!B$5:W$44,16,0)</f>
        <v>#N/A</v>
      </c>
      <c r="Q21" s="150" t="e">
        <f t="shared" si="2"/>
        <v>#N/A</v>
      </c>
      <c r="R21" s="87" t="e">
        <f>VLOOKUP(A21,saisie!B$5:W$44,18,0)</f>
        <v>#N/A</v>
      </c>
      <c r="S21" s="151" t="e">
        <f t="shared" si="3"/>
        <v>#N/A</v>
      </c>
      <c r="T21" s="88" t="e">
        <f>VLOOKUP(A21,saisie!B$5:W$44,20,0)</f>
        <v>#N/A</v>
      </c>
    </row>
    <row r="22" spans="1:20" s="89" customFormat="1" ht="47.1" customHeight="1" x14ac:dyDescent="0.2">
      <c r="A22" s="85" t="str">
        <f>IF(INFO!B8&gt;17,18,"")</f>
        <v/>
      </c>
      <c r="B22" s="139" t="e">
        <f>VLOOKUP(A22,saisie!B$5:W$44,2,0)</f>
        <v>#N/A</v>
      </c>
      <c r="C22" s="86" t="e">
        <f>VLOOKUP(A22,saisie!B$5:W$44,3,0)</f>
        <v>#N/A</v>
      </c>
      <c r="D22" s="83" t="e">
        <f>VLOOKUP(A22,saisie!B$5:W$44,4,0)</f>
        <v>#N/A</v>
      </c>
      <c r="E22" s="149" t="e">
        <f>VLOOKUP(A22,saisie!B$5:W$44,5,0)</f>
        <v>#N/A</v>
      </c>
      <c r="F22" s="149" t="e">
        <f>VLOOKUP(A22,saisie!B$5:W$44,6,0)</f>
        <v>#N/A</v>
      </c>
      <c r="G22" s="150" t="e">
        <f t="shared" si="0"/>
        <v>#N/A</v>
      </c>
      <c r="H22" s="87" t="e">
        <f>VLOOKUP(A22,saisie!B$5:W$44,8,0)</f>
        <v>#N/A</v>
      </c>
      <c r="I22" s="83" t="e">
        <f>VLOOKUP(A22,saisie!B$5:W$44,9,0)</f>
        <v>#N/A</v>
      </c>
      <c r="J22" s="149" t="e">
        <f>VLOOKUP(A22,saisie!B$5:W$44,10,0)</f>
        <v>#N/A</v>
      </c>
      <c r="K22" s="149" t="e">
        <f>VLOOKUP(A22,saisie!B$5:W$44,11,0)</f>
        <v>#N/A</v>
      </c>
      <c r="L22" s="150" t="e">
        <f t="shared" si="1"/>
        <v>#N/A</v>
      </c>
      <c r="M22" s="87" t="e">
        <f>VLOOKUP(A22,saisie!B$5:W$44,13,0)</f>
        <v>#N/A</v>
      </c>
      <c r="N22" s="83" t="e">
        <f>VLOOKUP(A22,saisie!B$5:W$44,14,0)</f>
        <v>#N/A</v>
      </c>
      <c r="O22" s="149" t="e">
        <f>VLOOKUP(A22,saisie!B$5:W$44,15,0)</f>
        <v>#N/A</v>
      </c>
      <c r="P22" s="149" t="e">
        <f>VLOOKUP(A22,saisie!B$5:W$44,16,0)</f>
        <v>#N/A</v>
      </c>
      <c r="Q22" s="150" t="e">
        <f t="shared" si="2"/>
        <v>#N/A</v>
      </c>
      <c r="R22" s="87" t="e">
        <f>VLOOKUP(A22,saisie!B$5:W$44,18,0)</f>
        <v>#N/A</v>
      </c>
      <c r="S22" s="151" t="e">
        <f t="shared" si="3"/>
        <v>#N/A</v>
      </c>
      <c r="T22" s="88" t="e">
        <f>VLOOKUP(A22,saisie!B$5:W$44,20,0)</f>
        <v>#N/A</v>
      </c>
    </row>
    <row r="23" spans="1:20" s="89" customFormat="1" ht="47.1" customHeight="1" x14ac:dyDescent="0.2">
      <c r="A23" s="85" t="str">
        <f>IF(INFO!B8&gt;18,19,"")</f>
        <v/>
      </c>
      <c r="B23" s="139" t="e">
        <f>VLOOKUP(A23,saisie!B$5:W$44,2,0)</f>
        <v>#N/A</v>
      </c>
      <c r="C23" s="86" t="e">
        <f>VLOOKUP(A23,saisie!B$5:W$44,3,0)</f>
        <v>#N/A</v>
      </c>
      <c r="D23" s="83" t="e">
        <f>VLOOKUP(A23,saisie!B$5:W$44,4,0)</f>
        <v>#N/A</v>
      </c>
      <c r="E23" s="149" t="e">
        <f>VLOOKUP(A23,saisie!B$5:W$44,5,0)</f>
        <v>#N/A</v>
      </c>
      <c r="F23" s="149" t="e">
        <f>VLOOKUP(A23,saisie!B$5:W$44,6,0)</f>
        <v>#N/A</v>
      </c>
      <c r="G23" s="150" t="e">
        <f t="shared" si="0"/>
        <v>#N/A</v>
      </c>
      <c r="H23" s="87" t="e">
        <f>VLOOKUP(A23,saisie!B$5:W$44,8,0)</f>
        <v>#N/A</v>
      </c>
      <c r="I23" s="83" t="e">
        <f>VLOOKUP(A23,saisie!B$5:W$44,9,0)</f>
        <v>#N/A</v>
      </c>
      <c r="J23" s="149" t="e">
        <f>VLOOKUP(A23,saisie!B$5:W$44,10,0)</f>
        <v>#N/A</v>
      </c>
      <c r="K23" s="149" t="e">
        <f>VLOOKUP(A23,saisie!B$5:W$44,11,0)</f>
        <v>#N/A</v>
      </c>
      <c r="L23" s="150" t="e">
        <f t="shared" si="1"/>
        <v>#N/A</v>
      </c>
      <c r="M23" s="87" t="e">
        <f>VLOOKUP(A23,saisie!B$5:W$44,13,0)</f>
        <v>#N/A</v>
      </c>
      <c r="N23" s="83" t="e">
        <f>VLOOKUP(A23,saisie!B$5:W$44,14,0)</f>
        <v>#N/A</v>
      </c>
      <c r="O23" s="149" t="e">
        <f>VLOOKUP(A23,saisie!B$5:W$44,15,0)</f>
        <v>#N/A</v>
      </c>
      <c r="P23" s="149" t="e">
        <f>VLOOKUP(A23,saisie!B$5:W$44,16,0)</f>
        <v>#N/A</v>
      </c>
      <c r="Q23" s="150" t="e">
        <f t="shared" si="2"/>
        <v>#N/A</v>
      </c>
      <c r="R23" s="87" t="e">
        <f>VLOOKUP(A23,saisie!B$5:W$44,18,0)</f>
        <v>#N/A</v>
      </c>
      <c r="S23" s="151" t="e">
        <f t="shared" si="3"/>
        <v>#N/A</v>
      </c>
      <c r="T23" s="88" t="e">
        <f>VLOOKUP(A23,saisie!B$5:W$44,20,0)</f>
        <v>#N/A</v>
      </c>
    </row>
    <row r="24" spans="1:20" s="89" customFormat="1" ht="47.1" customHeight="1" x14ac:dyDescent="0.2">
      <c r="A24" s="85" t="str">
        <f>IF(INFO!B8&gt;19,20,"")</f>
        <v/>
      </c>
      <c r="B24" s="139" t="e">
        <f>VLOOKUP(A24,saisie!B$5:W$44,2,0)</f>
        <v>#N/A</v>
      </c>
      <c r="C24" s="86" t="e">
        <f>VLOOKUP(A24,saisie!B$5:W$44,3,0)</f>
        <v>#N/A</v>
      </c>
      <c r="D24" s="83" t="e">
        <f>VLOOKUP(A24,saisie!B$5:W$44,4,0)</f>
        <v>#N/A</v>
      </c>
      <c r="E24" s="149" t="e">
        <f>VLOOKUP(A24,saisie!B$5:W$44,5,0)</f>
        <v>#N/A</v>
      </c>
      <c r="F24" s="149" t="e">
        <f>VLOOKUP(A24,saisie!B$5:W$44,6,0)</f>
        <v>#N/A</v>
      </c>
      <c r="G24" s="150" t="e">
        <f t="shared" si="0"/>
        <v>#N/A</v>
      </c>
      <c r="H24" s="87" t="e">
        <f>VLOOKUP(A24,saisie!B$5:W$44,8,0)</f>
        <v>#N/A</v>
      </c>
      <c r="I24" s="83" t="e">
        <f>VLOOKUP(A24,saisie!B$5:W$44,9,0)</f>
        <v>#N/A</v>
      </c>
      <c r="J24" s="149" t="e">
        <f>VLOOKUP(A24,saisie!B$5:W$44,10,0)</f>
        <v>#N/A</v>
      </c>
      <c r="K24" s="149" t="e">
        <f>VLOOKUP(A24,saisie!B$5:W$44,11,0)</f>
        <v>#N/A</v>
      </c>
      <c r="L24" s="150" t="e">
        <f t="shared" si="1"/>
        <v>#N/A</v>
      </c>
      <c r="M24" s="87" t="e">
        <f>VLOOKUP(A24,saisie!B$5:W$44,13,0)</f>
        <v>#N/A</v>
      </c>
      <c r="N24" s="83" t="e">
        <f>VLOOKUP(A24,saisie!B$5:W$44,14,0)</f>
        <v>#N/A</v>
      </c>
      <c r="O24" s="149" t="e">
        <f>VLOOKUP(A24,saisie!B$5:W$44,15,0)</f>
        <v>#N/A</v>
      </c>
      <c r="P24" s="149" t="e">
        <f>VLOOKUP(A24,saisie!B$5:W$44,16,0)</f>
        <v>#N/A</v>
      </c>
      <c r="Q24" s="150" t="e">
        <f t="shared" si="2"/>
        <v>#N/A</v>
      </c>
      <c r="R24" s="87" t="e">
        <f>VLOOKUP(A24,saisie!B$5:W$44,18,0)</f>
        <v>#N/A</v>
      </c>
      <c r="S24" s="151" t="e">
        <f t="shared" si="3"/>
        <v>#N/A</v>
      </c>
      <c r="T24" s="88" t="e">
        <f>VLOOKUP(A24,saisie!B$5:W$44,20,0)</f>
        <v>#N/A</v>
      </c>
    </row>
    <row r="25" spans="1:20" s="89" customFormat="1" ht="47.1" customHeight="1" x14ac:dyDescent="0.2">
      <c r="A25" s="85" t="str">
        <f>IF(INFO!B8&gt;20,21,"")</f>
        <v/>
      </c>
      <c r="B25" s="139" t="e">
        <f>VLOOKUP(A25,saisie!B$5:W$44,2,0)</f>
        <v>#N/A</v>
      </c>
      <c r="C25" s="86" t="e">
        <f>VLOOKUP(A25,saisie!B$5:W$44,3,0)</f>
        <v>#N/A</v>
      </c>
      <c r="D25" s="83" t="e">
        <f>VLOOKUP(A25,saisie!B$5:W$44,4,0)</f>
        <v>#N/A</v>
      </c>
      <c r="E25" s="149" t="e">
        <f>VLOOKUP(A25,saisie!B$5:W$44,5,0)</f>
        <v>#N/A</v>
      </c>
      <c r="F25" s="149" t="e">
        <f>VLOOKUP(A25,saisie!B$5:W$44,6,0)</f>
        <v>#N/A</v>
      </c>
      <c r="G25" s="150" t="e">
        <f t="shared" si="0"/>
        <v>#N/A</v>
      </c>
      <c r="H25" s="87" t="e">
        <f>VLOOKUP(A25,saisie!B$5:W$44,8,0)</f>
        <v>#N/A</v>
      </c>
      <c r="I25" s="83" t="e">
        <f>VLOOKUP(A25,saisie!B$5:W$44,9,0)</f>
        <v>#N/A</v>
      </c>
      <c r="J25" s="149" t="e">
        <f>VLOOKUP(A25,saisie!B$5:W$44,10,0)</f>
        <v>#N/A</v>
      </c>
      <c r="K25" s="149" t="e">
        <f>VLOOKUP(A25,saisie!B$5:W$44,11,0)</f>
        <v>#N/A</v>
      </c>
      <c r="L25" s="150" t="e">
        <f t="shared" si="1"/>
        <v>#N/A</v>
      </c>
      <c r="M25" s="87" t="e">
        <f>VLOOKUP(A25,saisie!B$5:W$44,13,0)</f>
        <v>#N/A</v>
      </c>
      <c r="N25" s="83" t="e">
        <f>VLOOKUP(A25,saisie!B$5:W$44,14,0)</f>
        <v>#N/A</v>
      </c>
      <c r="O25" s="149" t="e">
        <f>VLOOKUP(A25,saisie!B$5:W$44,15,0)</f>
        <v>#N/A</v>
      </c>
      <c r="P25" s="149" t="e">
        <f>VLOOKUP(A25,saisie!B$5:W$44,16,0)</f>
        <v>#N/A</v>
      </c>
      <c r="Q25" s="150" t="e">
        <f t="shared" si="2"/>
        <v>#N/A</v>
      </c>
      <c r="R25" s="87" t="e">
        <f>VLOOKUP(A25,saisie!B$5:W$44,18,0)</f>
        <v>#N/A</v>
      </c>
      <c r="S25" s="151" t="e">
        <f t="shared" si="3"/>
        <v>#N/A</v>
      </c>
      <c r="T25" s="88" t="e">
        <f>VLOOKUP(A25,saisie!B$5:W$44,20,0)</f>
        <v>#N/A</v>
      </c>
    </row>
    <row r="26" spans="1:20" s="89" customFormat="1" ht="47.1" customHeight="1" x14ac:dyDescent="0.2">
      <c r="A26" s="85" t="str">
        <f>IF(INFO!B8&gt;21,22,"")</f>
        <v/>
      </c>
      <c r="B26" s="139" t="e">
        <f>VLOOKUP(A26,saisie!B$5:W$44,2,0)</f>
        <v>#N/A</v>
      </c>
      <c r="C26" s="86" t="e">
        <f>VLOOKUP(A26,saisie!B$5:W$44,3,0)</f>
        <v>#N/A</v>
      </c>
      <c r="D26" s="83" t="e">
        <f>VLOOKUP(A26,saisie!B$5:W$44,4,0)</f>
        <v>#N/A</v>
      </c>
      <c r="E26" s="149" t="e">
        <f>VLOOKUP(A26,saisie!B$5:W$44,5,0)</f>
        <v>#N/A</v>
      </c>
      <c r="F26" s="149" t="e">
        <f>VLOOKUP(A26,saisie!B$5:W$44,6,0)</f>
        <v>#N/A</v>
      </c>
      <c r="G26" s="150" t="e">
        <f t="shared" si="0"/>
        <v>#N/A</v>
      </c>
      <c r="H26" s="87" t="e">
        <f>VLOOKUP(A26,saisie!B$5:W$44,8,0)</f>
        <v>#N/A</v>
      </c>
      <c r="I26" s="83" t="e">
        <f>VLOOKUP(A26,saisie!B$5:W$44,9,0)</f>
        <v>#N/A</v>
      </c>
      <c r="J26" s="149" t="e">
        <f>VLOOKUP(A26,saisie!B$5:W$44,10,0)</f>
        <v>#N/A</v>
      </c>
      <c r="K26" s="149" t="e">
        <f>VLOOKUP(A26,saisie!B$5:W$44,11,0)</f>
        <v>#N/A</v>
      </c>
      <c r="L26" s="150" t="e">
        <f t="shared" si="1"/>
        <v>#N/A</v>
      </c>
      <c r="M26" s="87" t="e">
        <f>VLOOKUP(A26,saisie!B$5:W$44,13,0)</f>
        <v>#N/A</v>
      </c>
      <c r="N26" s="83" t="e">
        <f>VLOOKUP(A26,saisie!B$5:W$44,14,0)</f>
        <v>#N/A</v>
      </c>
      <c r="O26" s="149" t="e">
        <f>VLOOKUP(A26,saisie!B$5:W$44,15,0)</f>
        <v>#N/A</v>
      </c>
      <c r="P26" s="149" t="e">
        <f>VLOOKUP(A26,saisie!B$5:W$44,16,0)</f>
        <v>#N/A</v>
      </c>
      <c r="Q26" s="150" t="e">
        <f t="shared" si="2"/>
        <v>#N/A</v>
      </c>
      <c r="R26" s="87" t="e">
        <f>VLOOKUP(A26,saisie!B$5:W$44,18,0)</f>
        <v>#N/A</v>
      </c>
      <c r="S26" s="151" t="e">
        <f t="shared" si="3"/>
        <v>#N/A</v>
      </c>
      <c r="T26" s="88" t="e">
        <f>VLOOKUP(A26,saisie!B$5:W$44,20,0)</f>
        <v>#N/A</v>
      </c>
    </row>
    <row r="27" spans="1:20" s="89" customFormat="1" ht="47.1" customHeight="1" x14ac:dyDescent="0.2">
      <c r="A27" s="85" t="str">
        <f>IF(INFO!B8&gt;22,23,"")</f>
        <v/>
      </c>
      <c r="B27" s="139" t="e">
        <f>VLOOKUP(A27,saisie!B$5:W$44,2,0)</f>
        <v>#N/A</v>
      </c>
      <c r="C27" s="86" t="e">
        <f>VLOOKUP(A27,saisie!B$5:W$44,3,0)</f>
        <v>#N/A</v>
      </c>
      <c r="D27" s="83" t="e">
        <f>VLOOKUP(A27,saisie!B$5:W$44,4,0)</f>
        <v>#N/A</v>
      </c>
      <c r="E27" s="149" t="e">
        <f>VLOOKUP(A27,saisie!B$5:W$44,5,0)</f>
        <v>#N/A</v>
      </c>
      <c r="F27" s="149" t="e">
        <f>VLOOKUP(A27,saisie!B$5:W$44,6,0)</f>
        <v>#N/A</v>
      </c>
      <c r="G27" s="150" t="e">
        <f t="shared" si="0"/>
        <v>#N/A</v>
      </c>
      <c r="H27" s="87" t="e">
        <f>VLOOKUP(A27,saisie!B$5:W$44,8,0)</f>
        <v>#N/A</v>
      </c>
      <c r="I27" s="83" t="e">
        <f>VLOOKUP(A27,saisie!B$5:W$44,9,0)</f>
        <v>#N/A</v>
      </c>
      <c r="J27" s="149" t="e">
        <f>VLOOKUP(A27,saisie!B$5:W$44,10,0)</f>
        <v>#N/A</v>
      </c>
      <c r="K27" s="149" t="e">
        <f>VLOOKUP(A27,saisie!B$5:W$44,11,0)</f>
        <v>#N/A</v>
      </c>
      <c r="L27" s="150" t="e">
        <f t="shared" si="1"/>
        <v>#N/A</v>
      </c>
      <c r="M27" s="87" t="e">
        <f>VLOOKUP(A27,saisie!B$5:W$44,13,0)</f>
        <v>#N/A</v>
      </c>
      <c r="N27" s="83" t="e">
        <f>VLOOKUP(A27,saisie!B$5:W$44,14,0)</f>
        <v>#N/A</v>
      </c>
      <c r="O27" s="149" t="e">
        <f>VLOOKUP(A27,saisie!B$5:W$44,15,0)</f>
        <v>#N/A</v>
      </c>
      <c r="P27" s="149" t="e">
        <f>VLOOKUP(A27,saisie!B$5:W$44,16,0)</f>
        <v>#N/A</v>
      </c>
      <c r="Q27" s="150" t="e">
        <f t="shared" si="2"/>
        <v>#N/A</v>
      </c>
      <c r="R27" s="87" t="e">
        <f>VLOOKUP(A27,saisie!B$5:W$44,18,0)</f>
        <v>#N/A</v>
      </c>
      <c r="S27" s="151" t="e">
        <f t="shared" si="3"/>
        <v>#N/A</v>
      </c>
      <c r="T27" s="88" t="e">
        <f>VLOOKUP(A27,saisie!B$5:W$44,20,0)</f>
        <v>#N/A</v>
      </c>
    </row>
    <row r="28" spans="1:20" s="89" customFormat="1" ht="47.1" customHeight="1" x14ac:dyDescent="0.2">
      <c r="A28" s="85" t="str">
        <f>IF(INFO!B8&gt;23,24,"")</f>
        <v/>
      </c>
      <c r="B28" s="139" t="e">
        <f>VLOOKUP(A28,saisie!B$5:W$44,2,0)</f>
        <v>#N/A</v>
      </c>
      <c r="C28" s="86" t="e">
        <f>VLOOKUP(A28,saisie!B$5:W$44,3,0)</f>
        <v>#N/A</v>
      </c>
      <c r="D28" s="83" t="e">
        <f>VLOOKUP(A28,saisie!B$5:W$44,4,0)</f>
        <v>#N/A</v>
      </c>
      <c r="E28" s="149" t="e">
        <f>VLOOKUP(A28,saisie!B$5:W$44,5,0)</f>
        <v>#N/A</v>
      </c>
      <c r="F28" s="149" t="e">
        <f>VLOOKUP(A28,saisie!B$5:W$44,6,0)</f>
        <v>#N/A</v>
      </c>
      <c r="G28" s="150" t="e">
        <f t="shared" si="0"/>
        <v>#N/A</v>
      </c>
      <c r="H28" s="87" t="e">
        <f>VLOOKUP(A28,saisie!B$5:W$44,8,0)</f>
        <v>#N/A</v>
      </c>
      <c r="I28" s="83" t="e">
        <f>VLOOKUP(A28,saisie!B$5:W$44,9,0)</f>
        <v>#N/A</v>
      </c>
      <c r="J28" s="149" t="e">
        <f>VLOOKUP(A28,saisie!B$5:W$44,10,0)</f>
        <v>#N/A</v>
      </c>
      <c r="K28" s="149" t="e">
        <f>VLOOKUP(A28,saisie!B$5:W$44,11,0)</f>
        <v>#N/A</v>
      </c>
      <c r="L28" s="150" t="e">
        <f t="shared" si="1"/>
        <v>#N/A</v>
      </c>
      <c r="M28" s="87" t="e">
        <f>VLOOKUP(A28,saisie!B$5:W$44,13,0)</f>
        <v>#N/A</v>
      </c>
      <c r="N28" s="83" t="e">
        <f>VLOOKUP(A28,saisie!B$5:W$44,14,0)</f>
        <v>#N/A</v>
      </c>
      <c r="O28" s="149" t="e">
        <f>VLOOKUP(A28,saisie!B$5:W$44,15,0)</f>
        <v>#N/A</v>
      </c>
      <c r="P28" s="149" t="e">
        <f>VLOOKUP(A28,saisie!B$5:W$44,16,0)</f>
        <v>#N/A</v>
      </c>
      <c r="Q28" s="150" t="e">
        <f t="shared" si="2"/>
        <v>#N/A</v>
      </c>
      <c r="R28" s="87" t="e">
        <f>VLOOKUP(A28,saisie!B$5:W$44,18,0)</f>
        <v>#N/A</v>
      </c>
      <c r="S28" s="151" t="e">
        <f t="shared" si="3"/>
        <v>#N/A</v>
      </c>
      <c r="T28" s="88" t="e">
        <f>VLOOKUP(A28,saisie!B$5:W$44,20,0)</f>
        <v>#N/A</v>
      </c>
    </row>
    <row r="29" spans="1:20" s="89" customFormat="1" ht="47.1" customHeight="1" x14ac:dyDescent="0.2">
      <c r="A29" s="85" t="str">
        <f>IF(INFO!B8&gt;24,25,"")</f>
        <v/>
      </c>
      <c r="B29" s="139" t="e">
        <f>VLOOKUP(A29,saisie!B$5:W$44,2,0)</f>
        <v>#N/A</v>
      </c>
      <c r="C29" s="86" t="e">
        <f>VLOOKUP(A29,saisie!B$5:W$44,3,0)</f>
        <v>#N/A</v>
      </c>
      <c r="D29" s="83" t="e">
        <f>VLOOKUP(A29,saisie!B$5:W$44,4,0)</f>
        <v>#N/A</v>
      </c>
      <c r="E29" s="149" t="e">
        <f>VLOOKUP(A29,saisie!B$5:W$44,5,0)</f>
        <v>#N/A</v>
      </c>
      <c r="F29" s="149" t="e">
        <f>VLOOKUP(A29,saisie!B$5:W$44,6,0)</f>
        <v>#N/A</v>
      </c>
      <c r="G29" s="150" t="e">
        <f t="shared" si="0"/>
        <v>#N/A</v>
      </c>
      <c r="H29" s="87" t="e">
        <f>VLOOKUP(A29,saisie!B$5:W$44,8,0)</f>
        <v>#N/A</v>
      </c>
      <c r="I29" s="83" t="e">
        <f>VLOOKUP(A29,saisie!B$5:W$44,9,0)</f>
        <v>#N/A</v>
      </c>
      <c r="J29" s="149" t="e">
        <f>VLOOKUP(A29,saisie!B$5:W$44,10,0)</f>
        <v>#N/A</v>
      </c>
      <c r="K29" s="149" t="e">
        <f>VLOOKUP(A29,saisie!B$5:W$44,11,0)</f>
        <v>#N/A</v>
      </c>
      <c r="L29" s="150" t="e">
        <f t="shared" si="1"/>
        <v>#N/A</v>
      </c>
      <c r="M29" s="87" t="e">
        <f>VLOOKUP(A29,saisie!B$5:W$44,13,0)</f>
        <v>#N/A</v>
      </c>
      <c r="N29" s="83" t="e">
        <f>VLOOKUP(A29,saisie!B$5:W$44,14,0)</f>
        <v>#N/A</v>
      </c>
      <c r="O29" s="149" t="e">
        <f>VLOOKUP(A29,saisie!B$5:W$44,15,0)</f>
        <v>#N/A</v>
      </c>
      <c r="P29" s="149" t="e">
        <f>VLOOKUP(A29,saisie!B$5:W$44,16,0)</f>
        <v>#N/A</v>
      </c>
      <c r="Q29" s="150" t="e">
        <f t="shared" si="2"/>
        <v>#N/A</v>
      </c>
      <c r="R29" s="87" t="e">
        <f>VLOOKUP(A29,saisie!B$5:W$44,18,0)</f>
        <v>#N/A</v>
      </c>
      <c r="S29" s="151" t="e">
        <f t="shared" si="3"/>
        <v>#N/A</v>
      </c>
      <c r="T29" s="88" t="e">
        <f>VLOOKUP(A29,saisie!B$5:W$44,20,0)</f>
        <v>#N/A</v>
      </c>
    </row>
    <row r="30" spans="1:20" s="89" customFormat="1" ht="47.1" customHeight="1" x14ac:dyDescent="0.2">
      <c r="A30" s="85" t="str">
        <f>IF(INFO!B8&gt;25,26,"")</f>
        <v/>
      </c>
      <c r="B30" s="139" t="e">
        <f>VLOOKUP(A30,saisie!B$5:W$44,2,0)</f>
        <v>#N/A</v>
      </c>
      <c r="C30" s="86" t="e">
        <f>VLOOKUP(A30,saisie!B$5:W$44,3,0)</f>
        <v>#N/A</v>
      </c>
      <c r="D30" s="83" t="e">
        <f>VLOOKUP(A30,saisie!B$5:W$44,4,0)</f>
        <v>#N/A</v>
      </c>
      <c r="E30" s="149" t="e">
        <f>VLOOKUP(A30,saisie!B$5:W$44,5,0)</f>
        <v>#N/A</v>
      </c>
      <c r="F30" s="149" t="e">
        <f>VLOOKUP(A30,saisie!B$5:W$44,6,0)</f>
        <v>#N/A</v>
      </c>
      <c r="G30" s="150" t="e">
        <f t="shared" si="0"/>
        <v>#N/A</v>
      </c>
      <c r="H30" s="87" t="e">
        <f>VLOOKUP(A30,saisie!B$5:W$44,8,0)</f>
        <v>#N/A</v>
      </c>
      <c r="I30" s="83" t="e">
        <f>VLOOKUP(A30,saisie!B$5:W$44,9,0)</f>
        <v>#N/A</v>
      </c>
      <c r="J30" s="149" t="e">
        <f>VLOOKUP(A30,saisie!B$5:W$44,10,0)</f>
        <v>#N/A</v>
      </c>
      <c r="K30" s="149" t="e">
        <f>VLOOKUP(A30,saisie!B$5:W$44,11,0)</f>
        <v>#N/A</v>
      </c>
      <c r="L30" s="150" t="e">
        <f t="shared" si="1"/>
        <v>#N/A</v>
      </c>
      <c r="M30" s="87" t="e">
        <f>VLOOKUP(A30,saisie!B$5:W$44,13,0)</f>
        <v>#N/A</v>
      </c>
      <c r="N30" s="83" t="e">
        <f>VLOOKUP(A30,saisie!B$5:W$44,14,0)</f>
        <v>#N/A</v>
      </c>
      <c r="O30" s="149" t="e">
        <f>VLOOKUP(A30,saisie!B$5:W$44,15,0)</f>
        <v>#N/A</v>
      </c>
      <c r="P30" s="149" t="e">
        <f>VLOOKUP(A30,saisie!B$5:W$44,16,0)</f>
        <v>#N/A</v>
      </c>
      <c r="Q30" s="150" t="e">
        <f t="shared" si="2"/>
        <v>#N/A</v>
      </c>
      <c r="R30" s="87" t="e">
        <f>VLOOKUP(A30,saisie!B$5:W$44,18,0)</f>
        <v>#N/A</v>
      </c>
      <c r="S30" s="151" t="e">
        <f t="shared" si="3"/>
        <v>#N/A</v>
      </c>
      <c r="T30" s="88" t="e">
        <f>VLOOKUP(A30,saisie!B$5:W$44,20,0)</f>
        <v>#N/A</v>
      </c>
    </row>
    <row r="31" spans="1:20" s="89" customFormat="1" ht="47.1" customHeight="1" x14ac:dyDescent="0.2">
      <c r="A31" s="85" t="str">
        <f>IF(INFO!B8&gt;26,27,"")</f>
        <v/>
      </c>
      <c r="B31" s="139" t="e">
        <f>VLOOKUP(A31,saisie!B$5:W$44,2,0)</f>
        <v>#N/A</v>
      </c>
      <c r="C31" s="86" t="e">
        <f>VLOOKUP(A31,saisie!B$5:W$44,3,0)</f>
        <v>#N/A</v>
      </c>
      <c r="D31" s="83" t="e">
        <f>VLOOKUP(A31,saisie!B$5:W$44,4,0)</f>
        <v>#N/A</v>
      </c>
      <c r="E31" s="149" t="e">
        <f>VLOOKUP(A31,saisie!B$5:W$44,5,0)</f>
        <v>#N/A</v>
      </c>
      <c r="F31" s="149" t="e">
        <f>VLOOKUP(A31,saisie!B$5:W$44,6,0)</f>
        <v>#N/A</v>
      </c>
      <c r="G31" s="150" t="e">
        <f t="shared" si="0"/>
        <v>#N/A</v>
      </c>
      <c r="H31" s="87" t="e">
        <f>VLOOKUP(A31,saisie!B$5:W$44,8,0)</f>
        <v>#N/A</v>
      </c>
      <c r="I31" s="83" t="e">
        <f>VLOOKUP(A31,saisie!B$5:W$44,9,0)</f>
        <v>#N/A</v>
      </c>
      <c r="J31" s="149" t="e">
        <f>VLOOKUP(A31,saisie!B$5:W$44,10,0)</f>
        <v>#N/A</v>
      </c>
      <c r="K31" s="149" t="e">
        <f>VLOOKUP(A31,saisie!B$5:W$44,11,0)</f>
        <v>#N/A</v>
      </c>
      <c r="L31" s="150" t="e">
        <f t="shared" si="1"/>
        <v>#N/A</v>
      </c>
      <c r="M31" s="87" t="e">
        <f>VLOOKUP(A31,saisie!B$5:W$44,13,0)</f>
        <v>#N/A</v>
      </c>
      <c r="N31" s="83" t="e">
        <f>VLOOKUP(A31,saisie!B$5:W$44,14,0)</f>
        <v>#N/A</v>
      </c>
      <c r="O31" s="149" t="e">
        <f>VLOOKUP(A31,saisie!B$5:W$44,15,0)</f>
        <v>#N/A</v>
      </c>
      <c r="P31" s="149" t="e">
        <f>VLOOKUP(A31,saisie!B$5:W$44,16,0)</f>
        <v>#N/A</v>
      </c>
      <c r="Q31" s="150" t="e">
        <f t="shared" si="2"/>
        <v>#N/A</v>
      </c>
      <c r="R31" s="87" t="e">
        <f>VLOOKUP(A31,saisie!B$5:W$44,18,0)</f>
        <v>#N/A</v>
      </c>
      <c r="S31" s="151" t="e">
        <f t="shared" si="3"/>
        <v>#N/A</v>
      </c>
      <c r="T31" s="88" t="e">
        <f>VLOOKUP(A31,saisie!B$5:W$44,20,0)</f>
        <v>#N/A</v>
      </c>
    </row>
    <row r="32" spans="1:20" s="89" customFormat="1" ht="47.1" customHeight="1" x14ac:dyDescent="0.2">
      <c r="A32" s="85" t="str">
        <f>IF(INFO!B8&gt;27,28,"")</f>
        <v/>
      </c>
      <c r="B32" s="139" t="e">
        <f>VLOOKUP(A32,saisie!B$5:W$44,2,0)</f>
        <v>#N/A</v>
      </c>
      <c r="C32" s="86" t="e">
        <f>VLOOKUP(A32,saisie!B$5:W$44,3,0)</f>
        <v>#N/A</v>
      </c>
      <c r="D32" s="83" t="e">
        <f>VLOOKUP(A32,saisie!B$5:W$44,4,0)</f>
        <v>#N/A</v>
      </c>
      <c r="E32" s="149" t="e">
        <f>VLOOKUP(A32,saisie!B$5:W$44,5,0)</f>
        <v>#N/A</v>
      </c>
      <c r="F32" s="149" t="e">
        <f>VLOOKUP(A32,saisie!B$5:W$44,6,0)</f>
        <v>#N/A</v>
      </c>
      <c r="G32" s="150" t="e">
        <f t="shared" si="0"/>
        <v>#N/A</v>
      </c>
      <c r="H32" s="87" t="e">
        <f>VLOOKUP(A32,saisie!B$5:W$44,8,0)</f>
        <v>#N/A</v>
      </c>
      <c r="I32" s="83" t="e">
        <f>VLOOKUP(A32,saisie!B$5:W$44,9,0)</f>
        <v>#N/A</v>
      </c>
      <c r="J32" s="149" t="e">
        <f>VLOOKUP(A32,saisie!B$5:W$44,10,0)</f>
        <v>#N/A</v>
      </c>
      <c r="K32" s="149" t="e">
        <f>VLOOKUP(A32,saisie!B$5:W$44,11,0)</f>
        <v>#N/A</v>
      </c>
      <c r="L32" s="150" t="e">
        <f t="shared" si="1"/>
        <v>#N/A</v>
      </c>
      <c r="M32" s="87" t="e">
        <f>VLOOKUP(A32,saisie!B$5:W$44,13,0)</f>
        <v>#N/A</v>
      </c>
      <c r="N32" s="83" t="e">
        <f>VLOOKUP(A32,saisie!B$5:W$44,14,0)</f>
        <v>#N/A</v>
      </c>
      <c r="O32" s="149" t="e">
        <f>VLOOKUP(A32,saisie!B$5:W$44,15,0)</f>
        <v>#N/A</v>
      </c>
      <c r="P32" s="149" t="e">
        <f>VLOOKUP(A32,saisie!B$5:W$44,16,0)</f>
        <v>#N/A</v>
      </c>
      <c r="Q32" s="150" t="e">
        <f t="shared" si="2"/>
        <v>#N/A</v>
      </c>
      <c r="R32" s="87" t="e">
        <f>VLOOKUP(A32,saisie!B$5:W$44,18,0)</f>
        <v>#N/A</v>
      </c>
      <c r="S32" s="151" t="e">
        <f t="shared" si="3"/>
        <v>#N/A</v>
      </c>
      <c r="T32" s="88" t="e">
        <f>VLOOKUP(A32,saisie!B$5:W$44,20,0)</f>
        <v>#N/A</v>
      </c>
    </row>
    <row r="33" spans="1:20" s="89" customFormat="1" ht="47.1" customHeight="1" x14ac:dyDescent="0.2">
      <c r="A33" s="85" t="str">
        <f>IF(INFO!B8&gt;28,29,"")</f>
        <v/>
      </c>
      <c r="B33" s="139" t="e">
        <f>VLOOKUP(A33,saisie!B$5:W$44,2,0)</f>
        <v>#N/A</v>
      </c>
      <c r="C33" s="86" t="e">
        <f>VLOOKUP(A33,saisie!B$5:W$44,3,0)</f>
        <v>#N/A</v>
      </c>
      <c r="D33" s="83" t="e">
        <f>VLOOKUP(A33,saisie!B$5:W$44,4,0)</f>
        <v>#N/A</v>
      </c>
      <c r="E33" s="149" t="e">
        <f>VLOOKUP(A33,saisie!B$5:W$44,5,0)</f>
        <v>#N/A</v>
      </c>
      <c r="F33" s="149" t="e">
        <f>VLOOKUP(A33,saisie!B$5:W$44,6,0)</f>
        <v>#N/A</v>
      </c>
      <c r="G33" s="150" t="e">
        <f t="shared" si="0"/>
        <v>#N/A</v>
      </c>
      <c r="H33" s="87" t="e">
        <f>VLOOKUP(A33,saisie!B$5:W$44,8,0)</f>
        <v>#N/A</v>
      </c>
      <c r="I33" s="83" t="e">
        <f>VLOOKUP(A33,saisie!B$5:W$44,9,0)</f>
        <v>#N/A</v>
      </c>
      <c r="J33" s="149" t="e">
        <f>VLOOKUP(A33,saisie!B$5:W$44,10,0)</f>
        <v>#N/A</v>
      </c>
      <c r="K33" s="149" t="e">
        <f>VLOOKUP(A33,saisie!B$5:W$44,11,0)</f>
        <v>#N/A</v>
      </c>
      <c r="L33" s="150" t="e">
        <f t="shared" si="1"/>
        <v>#N/A</v>
      </c>
      <c r="M33" s="87" t="e">
        <f>VLOOKUP(A33,saisie!B$5:W$44,13,0)</f>
        <v>#N/A</v>
      </c>
      <c r="N33" s="83" t="e">
        <f>VLOOKUP(A33,saisie!B$5:W$44,14,0)</f>
        <v>#N/A</v>
      </c>
      <c r="O33" s="149" t="e">
        <f>VLOOKUP(A33,saisie!B$5:W$44,15,0)</f>
        <v>#N/A</v>
      </c>
      <c r="P33" s="149" t="e">
        <f>VLOOKUP(A33,saisie!B$5:W$44,16,0)</f>
        <v>#N/A</v>
      </c>
      <c r="Q33" s="150" t="e">
        <f t="shared" si="2"/>
        <v>#N/A</v>
      </c>
      <c r="R33" s="87" t="e">
        <f>VLOOKUP(A33,saisie!B$5:W$44,18,0)</f>
        <v>#N/A</v>
      </c>
      <c r="S33" s="151" t="e">
        <f t="shared" si="3"/>
        <v>#N/A</v>
      </c>
      <c r="T33" s="88" t="e">
        <f>VLOOKUP(A33,saisie!B$5:W$44,20,0)</f>
        <v>#N/A</v>
      </c>
    </row>
    <row r="34" spans="1:20" s="89" customFormat="1" ht="47.1" customHeight="1" x14ac:dyDescent="0.2">
      <c r="A34" s="85" t="str">
        <f>IF(INFO!B8&gt;29,30,"")</f>
        <v/>
      </c>
      <c r="B34" s="139" t="e">
        <f>VLOOKUP(A34,saisie!B$5:W$44,2,0)</f>
        <v>#N/A</v>
      </c>
      <c r="C34" s="86" t="e">
        <f>VLOOKUP(A34,saisie!B$5:W$44,3,0)</f>
        <v>#N/A</v>
      </c>
      <c r="D34" s="83" t="e">
        <f>VLOOKUP(A34,saisie!B$5:W$44,4,0)</f>
        <v>#N/A</v>
      </c>
      <c r="E34" s="149" t="e">
        <f>VLOOKUP(A34,saisie!B$5:W$44,5,0)</f>
        <v>#N/A</v>
      </c>
      <c r="F34" s="149" t="e">
        <f>VLOOKUP(A34,saisie!B$5:W$44,6,0)</f>
        <v>#N/A</v>
      </c>
      <c r="G34" s="150" t="e">
        <f t="shared" si="0"/>
        <v>#N/A</v>
      </c>
      <c r="H34" s="87" t="e">
        <f>VLOOKUP(A34,saisie!B$5:W$44,8,0)</f>
        <v>#N/A</v>
      </c>
      <c r="I34" s="83" t="e">
        <f>VLOOKUP(A34,saisie!B$5:W$44,9,0)</f>
        <v>#N/A</v>
      </c>
      <c r="J34" s="149" t="e">
        <f>VLOOKUP(A34,saisie!B$5:W$44,10,0)</f>
        <v>#N/A</v>
      </c>
      <c r="K34" s="149" t="e">
        <f>VLOOKUP(A34,saisie!B$5:W$44,11,0)</f>
        <v>#N/A</v>
      </c>
      <c r="L34" s="150" t="e">
        <f t="shared" si="1"/>
        <v>#N/A</v>
      </c>
      <c r="M34" s="87" t="e">
        <f>VLOOKUP(A34,saisie!B$5:W$44,13,0)</f>
        <v>#N/A</v>
      </c>
      <c r="N34" s="83" t="e">
        <f>VLOOKUP(A34,saisie!B$5:W$44,14,0)</f>
        <v>#N/A</v>
      </c>
      <c r="O34" s="149" t="e">
        <f>VLOOKUP(A34,saisie!B$5:W$44,15,0)</f>
        <v>#N/A</v>
      </c>
      <c r="P34" s="149" t="e">
        <f>VLOOKUP(A34,saisie!B$5:W$44,16,0)</f>
        <v>#N/A</v>
      </c>
      <c r="Q34" s="150" t="e">
        <f t="shared" si="2"/>
        <v>#N/A</v>
      </c>
      <c r="R34" s="87" t="e">
        <f>VLOOKUP(A34,saisie!B$5:W$44,18,0)</f>
        <v>#N/A</v>
      </c>
      <c r="S34" s="151" t="e">
        <f t="shared" si="3"/>
        <v>#N/A</v>
      </c>
      <c r="T34" s="88" t="e">
        <f>VLOOKUP(A34,saisie!B$5:W$44,20,0)</f>
        <v>#N/A</v>
      </c>
    </row>
    <row r="35" spans="1:20" s="89" customFormat="1" ht="47.1" customHeight="1" x14ac:dyDescent="0.2">
      <c r="A35" s="85" t="str">
        <f>IF(INFO!B8&gt;30,31,"")</f>
        <v/>
      </c>
      <c r="B35" s="139" t="e">
        <f>VLOOKUP(A35,saisie!B$5:W$44,2,0)</f>
        <v>#N/A</v>
      </c>
      <c r="C35" s="86" t="e">
        <f>VLOOKUP(A35,saisie!B$5:W$44,3,0)</f>
        <v>#N/A</v>
      </c>
      <c r="D35" s="83" t="e">
        <f>VLOOKUP(A35,saisie!B$5:W$44,4,0)</f>
        <v>#N/A</v>
      </c>
      <c r="E35" s="149" t="e">
        <f>VLOOKUP(A35,saisie!B$5:W$44,5,0)</f>
        <v>#N/A</v>
      </c>
      <c r="F35" s="149" t="e">
        <f>VLOOKUP(A35,saisie!B$5:W$44,6,0)</f>
        <v>#N/A</v>
      </c>
      <c r="G35" s="150" t="e">
        <f t="shared" si="0"/>
        <v>#N/A</v>
      </c>
      <c r="H35" s="87" t="e">
        <f>VLOOKUP(A35,saisie!B$5:W$44,8,0)</f>
        <v>#N/A</v>
      </c>
      <c r="I35" s="83" t="e">
        <f>VLOOKUP(A35,saisie!B$5:W$44,9,0)</f>
        <v>#N/A</v>
      </c>
      <c r="J35" s="149" t="e">
        <f>VLOOKUP(A35,saisie!B$5:W$44,10,0)</f>
        <v>#N/A</v>
      </c>
      <c r="K35" s="149" t="e">
        <f>VLOOKUP(A35,saisie!B$5:W$44,11,0)</f>
        <v>#N/A</v>
      </c>
      <c r="L35" s="150" t="e">
        <f t="shared" si="1"/>
        <v>#N/A</v>
      </c>
      <c r="M35" s="87" t="e">
        <f>VLOOKUP(A35,saisie!B$5:W$44,13,0)</f>
        <v>#N/A</v>
      </c>
      <c r="N35" s="83" t="e">
        <f>VLOOKUP(A35,saisie!B$5:W$44,14,0)</f>
        <v>#N/A</v>
      </c>
      <c r="O35" s="149" t="e">
        <f>VLOOKUP(A35,saisie!B$5:W$44,15,0)</f>
        <v>#N/A</v>
      </c>
      <c r="P35" s="149" t="e">
        <f>VLOOKUP(A35,saisie!B$5:W$44,16,0)</f>
        <v>#N/A</v>
      </c>
      <c r="Q35" s="150" t="e">
        <f t="shared" si="2"/>
        <v>#N/A</v>
      </c>
      <c r="R35" s="87" t="e">
        <f>VLOOKUP(A35,saisie!B$5:W$44,18,0)</f>
        <v>#N/A</v>
      </c>
      <c r="S35" s="151" t="e">
        <f t="shared" si="3"/>
        <v>#N/A</v>
      </c>
      <c r="T35" s="88" t="e">
        <f>VLOOKUP(A35,saisie!B$5:W$44,20,0)</f>
        <v>#N/A</v>
      </c>
    </row>
    <row r="36" spans="1:20" s="89" customFormat="1" ht="47.1" customHeight="1" x14ac:dyDescent="0.2">
      <c r="A36" s="85" t="str">
        <f>IF(INFO!B8&gt;31,32,"")</f>
        <v/>
      </c>
      <c r="B36" s="139" t="e">
        <f>VLOOKUP(A36,saisie!B$5:W$44,2,0)</f>
        <v>#N/A</v>
      </c>
      <c r="C36" s="86" t="e">
        <f>VLOOKUP(A36,saisie!B$5:W$44,3,0)</f>
        <v>#N/A</v>
      </c>
      <c r="D36" s="83" t="e">
        <f>VLOOKUP(A36,saisie!B$5:W$44,4,0)</f>
        <v>#N/A</v>
      </c>
      <c r="E36" s="149" t="e">
        <f>VLOOKUP(A36,saisie!B$5:W$44,5,0)</f>
        <v>#N/A</v>
      </c>
      <c r="F36" s="149" t="e">
        <f>VLOOKUP(A36,saisie!B$5:W$44,6,0)</f>
        <v>#N/A</v>
      </c>
      <c r="G36" s="150" t="e">
        <f t="shared" si="0"/>
        <v>#N/A</v>
      </c>
      <c r="H36" s="87" t="e">
        <f>VLOOKUP(A36,saisie!B$5:W$44,8,0)</f>
        <v>#N/A</v>
      </c>
      <c r="I36" s="83" t="e">
        <f>VLOOKUP(A36,saisie!B$5:W$44,9,0)</f>
        <v>#N/A</v>
      </c>
      <c r="J36" s="149" t="e">
        <f>VLOOKUP(A36,saisie!B$5:W$44,10,0)</f>
        <v>#N/A</v>
      </c>
      <c r="K36" s="149" t="e">
        <f>VLOOKUP(A36,saisie!B$5:W$44,11,0)</f>
        <v>#N/A</v>
      </c>
      <c r="L36" s="150" t="e">
        <f t="shared" si="1"/>
        <v>#N/A</v>
      </c>
      <c r="M36" s="87" t="e">
        <f>VLOOKUP(A36,saisie!B$5:W$44,13,0)</f>
        <v>#N/A</v>
      </c>
      <c r="N36" s="83" t="e">
        <f>VLOOKUP(A36,saisie!B$5:W$44,14,0)</f>
        <v>#N/A</v>
      </c>
      <c r="O36" s="149" t="e">
        <f>VLOOKUP(A36,saisie!B$5:W$44,15,0)</f>
        <v>#N/A</v>
      </c>
      <c r="P36" s="149" t="e">
        <f>VLOOKUP(A36,saisie!B$5:W$44,16,0)</f>
        <v>#N/A</v>
      </c>
      <c r="Q36" s="150" t="e">
        <f t="shared" si="2"/>
        <v>#N/A</v>
      </c>
      <c r="R36" s="87" t="e">
        <f>VLOOKUP(A36,saisie!B$5:W$44,18,0)</f>
        <v>#N/A</v>
      </c>
      <c r="S36" s="151" t="e">
        <f t="shared" si="3"/>
        <v>#N/A</v>
      </c>
      <c r="T36" s="88" t="e">
        <f>VLOOKUP(A36,saisie!B$5:W$44,20,0)</f>
        <v>#N/A</v>
      </c>
    </row>
    <row r="37" spans="1:20" s="89" customFormat="1" ht="47.1" customHeight="1" x14ac:dyDescent="0.2">
      <c r="A37" s="85" t="str">
        <f>IF(INFO!B8&gt;32,33,"")</f>
        <v/>
      </c>
      <c r="B37" s="139" t="e">
        <f>VLOOKUP(A37,saisie!B$5:W$44,2,0)</f>
        <v>#N/A</v>
      </c>
      <c r="C37" s="86" t="e">
        <f>VLOOKUP(A37,saisie!B$5:W$44,3,0)</f>
        <v>#N/A</v>
      </c>
      <c r="D37" s="83" t="e">
        <f>VLOOKUP(A37,saisie!B$5:W$44,4,0)</f>
        <v>#N/A</v>
      </c>
      <c r="E37" s="149" t="e">
        <f>VLOOKUP(A37,saisie!B$5:W$44,5,0)</f>
        <v>#N/A</v>
      </c>
      <c r="F37" s="149" t="e">
        <f>VLOOKUP(A37,saisie!B$5:W$44,6,0)</f>
        <v>#N/A</v>
      </c>
      <c r="G37" s="150" t="e">
        <f t="shared" si="0"/>
        <v>#N/A</v>
      </c>
      <c r="H37" s="87" t="e">
        <f>VLOOKUP(A37,saisie!B$5:W$44,8,0)</f>
        <v>#N/A</v>
      </c>
      <c r="I37" s="83" t="e">
        <f>VLOOKUP(A37,saisie!B$5:W$44,9,0)</f>
        <v>#N/A</v>
      </c>
      <c r="J37" s="149" t="e">
        <f>VLOOKUP(A37,saisie!B$5:W$44,10,0)</f>
        <v>#N/A</v>
      </c>
      <c r="K37" s="149" t="e">
        <f>VLOOKUP(A37,saisie!B$5:W$44,11,0)</f>
        <v>#N/A</v>
      </c>
      <c r="L37" s="150" t="e">
        <f t="shared" si="1"/>
        <v>#N/A</v>
      </c>
      <c r="M37" s="87" t="e">
        <f>VLOOKUP(A37,saisie!B$5:W$44,13,0)</f>
        <v>#N/A</v>
      </c>
      <c r="N37" s="83" t="e">
        <f>VLOOKUP(A37,saisie!B$5:W$44,14,0)</f>
        <v>#N/A</v>
      </c>
      <c r="O37" s="149" t="e">
        <f>VLOOKUP(A37,saisie!B$5:W$44,15,0)</f>
        <v>#N/A</v>
      </c>
      <c r="P37" s="149" t="e">
        <f>VLOOKUP(A37,saisie!B$5:W$44,16,0)</f>
        <v>#N/A</v>
      </c>
      <c r="Q37" s="150" t="e">
        <f t="shared" si="2"/>
        <v>#N/A</v>
      </c>
      <c r="R37" s="87" t="e">
        <f>VLOOKUP(A37,saisie!B$5:W$44,18,0)</f>
        <v>#N/A</v>
      </c>
      <c r="S37" s="151" t="e">
        <f t="shared" si="3"/>
        <v>#N/A</v>
      </c>
      <c r="T37" s="88" t="e">
        <f>VLOOKUP(A37,saisie!B$5:W$44,20,0)</f>
        <v>#N/A</v>
      </c>
    </row>
    <row r="38" spans="1:20" s="89" customFormat="1" ht="47.1" customHeight="1" x14ac:dyDescent="0.2">
      <c r="A38" s="85" t="str">
        <f>IF(INFO!B8&gt;33,34,"")</f>
        <v/>
      </c>
      <c r="B38" s="139" t="e">
        <f>VLOOKUP(A38,saisie!B$5:W$44,2,0)</f>
        <v>#N/A</v>
      </c>
      <c r="C38" s="86" t="e">
        <f>VLOOKUP(A38,saisie!B$5:W$44,3,0)</f>
        <v>#N/A</v>
      </c>
      <c r="D38" s="83" t="e">
        <f>VLOOKUP(A38,saisie!B$5:W$44,4,0)</f>
        <v>#N/A</v>
      </c>
      <c r="E38" s="149" t="e">
        <f>VLOOKUP(A38,saisie!B$5:W$44,5,0)</f>
        <v>#N/A</v>
      </c>
      <c r="F38" s="149" t="e">
        <f>VLOOKUP(A38,saisie!B$5:W$44,6,0)</f>
        <v>#N/A</v>
      </c>
      <c r="G38" s="150" t="e">
        <f t="shared" si="0"/>
        <v>#N/A</v>
      </c>
      <c r="H38" s="87" t="e">
        <f>VLOOKUP(A38,saisie!B$5:W$44,8,0)</f>
        <v>#N/A</v>
      </c>
      <c r="I38" s="83" t="e">
        <f>VLOOKUP(A38,saisie!B$5:W$44,9,0)</f>
        <v>#N/A</v>
      </c>
      <c r="J38" s="149" t="e">
        <f>VLOOKUP(A38,saisie!B$5:W$44,10,0)</f>
        <v>#N/A</v>
      </c>
      <c r="K38" s="149" t="e">
        <f>VLOOKUP(A38,saisie!B$5:W$44,11,0)</f>
        <v>#N/A</v>
      </c>
      <c r="L38" s="150" t="e">
        <f t="shared" si="1"/>
        <v>#N/A</v>
      </c>
      <c r="M38" s="87" t="e">
        <f>VLOOKUP(A38,saisie!B$5:W$44,13,0)</f>
        <v>#N/A</v>
      </c>
      <c r="N38" s="83" t="e">
        <f>VLOOKUP(A38,saisie!B$5:W$44,14,0)</f>
        <v>#N/A</v>
      </c>
      <c r="O38" s="149" t="e">
        <f>VLOOKUP(A38,saisie!B$5:W$44,15,0)</f>
        <v>#N/A</v>
      </c>
      <c r="P38" s="149" t="e">
        <f>VLOOKUP(A38,saisie!B$5:W$44,16,0)</f>
        <v>#N/A</v>
      </c>
      <c r="Q38" s="150" t="e">
        <f t="shared" si="2"/>
        <v>#N/A</v>
      </c>
      <c r="R38" s="87" t="e">
        <f>VLOOKUP(A38,saisie!B$5:W$44,18,0)</f>
        <v>#N/A</v>
      </c>
      <c r="S38" s="151" t="e">
        <f t="shared" si="3"/>
        <v>#N/A</v>
      </c>
      <c r="T38" s="88" t="e">
        <f>VLOOKUP(A38,saisie!B$5:W$44,20,0)</f>
        <v>#N/A</v>
      </c>
    </row>
    <row r="39" spans="1:20" s="89" customFormat="1" ht="47.1" customHeight="1" x14ac:dyDescent="0.2">
      <c r="A39" s="85" t="str">
        <f>IF(INFO!B8&gt;34,35,"")</f>
        <v/>
      </c>
      <c r="B39" s="139" t="e">
        <f>VLOOKUP(A39,saisie!B$5:W$44,2,0)</f>
        <v>#N/A</v>
      </c>
      <c r="C39" s="86" t="e">
        <f>VLOOKUP(A39,saisie!B$5:W$44,3,0)</f>
        <v>#N/A</v>
      </c>
      <c r="D39" s="83" t="e">
        <f>VLOOKUP(A39,saisie!B$5:W$44,4,0)</f>
        <v>#N/A</v>
      </c>
      <c r="E39" s="149" t="e">
        <f>VLOOKUP(A39,saisie!B$5:W$44,5,0)</f>
        <v>#N/A</v>
      </c>
      <c r="F39" s="149" t="e">
        <f>VLOOKUP(A39,saisie!B$5:W$44,6,0)</f>
        <v>#N/A</v>
      </c>
      <c r="G39" s="150" t="e">
        <f t="shared" si="0"/>
        <v>#N/A</v>
      </c>
      <c r="H39" s="87" t="e">
        <f>VLOOKUP(A39,saisie!B$5:W$44,8,0)</f>
        <v>#N/A</v>
      </c>
      <c r="I39" s="83" t="e">
        <f>VLOOKUP(A39,saisie!B$5:W$44,9,0)</f>
        <v>#N/A</v>
      </c>
      <c r="J39" s="149" t="e">
        <f>VLOOKUP(A39,saisie!B$5:W$44,10,0)</f>
        <v>#N/A</v>
      </c>
      <c r="K39" s="149" t="e">
        <f>VLOOKUP(A39,saisie!B$5:W$44,11,0)</f>
        <v>#N/A</v>
      </c>
      <c r="L39" s="150" t="e">
        <f t="shared" si="1"/>
        <v>#N/A</v>
      </c>
      <c r="M39" s="87" t="e">
        <f>VLOOKUP(A39,saisie!B$5:W$44,13,0)</f>
        <v>#N/A</v>
      </c>
      <c r="N39" s="83" t="e">
        <f>VLOOKUP(A39,saisie!B$5:W$44,14,0)</f>
        <v>#N/A</v>
      </c>
      <c r="O39" s="149" t="e">
        <f>VLOOKUP(A39,saisie!B$5:W$44,15,0)</f>
        <v>#N/A</v>
      </c>
      <c r="P39" s="149" t="e">
        <f>VLOOKUP(A39,saisie!B$5:W$44,16,0)</f>
        <v>#N/A</v>
      </c>
      <c r="Q39" s="150" t="e">
        <f t="shared" si="2"/>
        <v>#N/A</v>
      </c>
      <c r="R39" s="87" t="e">
        <f>VLOOKUP(A39,saisie!B$5:W$44,18,0)</f>
        <v>#N/A</v>
      </c>
      <c r="S39" s="151" t="e">
        <f t="shared" si="3"/>
        <v>#N/A</v>
      </c>
      <c r="T39" s="88" t="e">
        <f>VLOOKUP(A39,saisie!B$5:W$44,20,0)</f>
        <v>#N/A</v>
      </c>
    </row>
    <row r="40" spans="1:20" s="89" customFormat="1" ht="47.1" customHeight="1" x14ac:dyDescent="0.2">
      <c r="A40" s="85" t="str">
        <f>IF(INFO!B8&gt;35,36,"")</f>
        <v/>
      </c>
      <c r="B40" s="139" t="e">
        <f>VLOOKUP(A40,saisie!B$5:W$44,2,0)</f>
        <v>#N/A</v>
      </c>
      <c r="C40" s="86" t="e">
        <f>VLOOKUP(A40,saisie!B$5:W$44,3,0)</f>
        <v>#N/A</v>
      </c>
      <c r="D40" s="83" t="e">
        <f>VLOOKUP(A40,saisie!B$5:W$44,4,0)</f>
        <v>#N/A</v>
      </c>
      <c r="E40" s="149" t="e">
        <f>VLOOKUP(A40,saisie!B$5:W$44,5,0)</f>
        <v>#N/A</v>
      </c>
      <c r="F40" s="149" t="e">
        <f>VLOOKUP(A40,saisie!B$5:W$44,6,0)</f>
        <v>#N/A</v>
      </c>
      <c r="G40" s="150" t="e">
        <f t="shared" si="0"/>
        <v>#N/A</v>
      </c>
      <c r="H40" s="87" t="e">
        <f>VLOOKUP(A40,saisie!B$5:W$44,8,0)</f>
        <v>#N/A</v>
      </c>
      <c r="I40" s="83" t="e">
        <f>VLOOKUP(A40,saisie!B$5:W$44,9,0)</f>
        <v>#N/A</v>
      </c>
      <c r="J40" s="149" t="e">
        <f>VLOOKUP(A40,saisie!B$5:W$44,10,0)</f>
        <v>#N/A</v>
      </c>
      <c r="K40" s="149" t="e">
        <f>VLOOKUP(A40,saisie!B$5:W$44,11,0)</f>
        <v>#N/A</v>
      </c>
      <c r="L40" s="150" t="e">
        <f t="shared" si="1"/>
        <v>#N/A</v>
      </c>
      <c r="M40" s="87" t="e">
        <f>VLOOKUP(A40,saisie!B$5:W$44,13,0)</f>
        <v>#N/A</v>
      </c>
      <c r="N40" s="83" t="e">
        <f>VLOOKUP(A40,saisie!B$5:W$44,14,0)</f>
        <v>#N/A</v>
      </c>
      <c r="O40" s="149" t="e">
        <f>VLOOKUP(A40,saisie!B$5:W$44,15,0)</f>
        <v>#N/A</v>
      </c>
      <c r="P40" s="149" t="e">
        <f>VLOOKUP(A40,saisie!B$5:W$44,16,0)</f>
        <v>#N/A</v>
      </c>
      <c r="Q40" s="150" t="e">
        <f t="shared" si="2"/>
        <v>#N/A</v>
      </c>
      <c r="R40" s="87" t="e">
        <f>VLOOKUP(A40,saisie!B$5:W$44,18,0)</f>
        <v>#N/A</v>
      </c>
      <c r="S40" s="151" t="e">
        <f t="shared" si="3"/>
        <v>#N/A</v>
      </c>
      <c r="T40" s="88" t="e">
        <f>VLOOKUP(A40,saisie!B$5:W$44,20,0)</f>
        <v>#N/A</v>
      </c>
    </row>
    <row r="41" spans="1:20" s="89" customFormat="1" ht="47.1" customHeight="1" x14ac:dyDescent="0.2">
      <c r="A41" s="85" t="str">
        <f>IF(INFO!B8&gt;36,37,"")</f>
        <v/>
      </c>
      <c r="B41" s="139" t="e">
        <f>VLOOKUP(A41,saisie!B$5:W$44,2,0)</f>
        <v>#N/A</v>
      </c>
      <c r="C41" s="86" t="e">
        <f>VLOOKUP(A41,saisie!B$5:W$44,3,0)</f>
        <v>#N/A</v>
      </c>
      <c r="D41" s="83" t="e">
        <f>VLOOKUP(A41,saisie!B$5:W$44,4,0)</f>
        <v>#N/A</v>
      </c>
      <c r="E41" s="149" t="e">
        <f>VLOOKUP(A41,saisie!B$5:W$44,5,0)</f>
        <v>#N/A</v>
      </c>
      <c r="F41" s="149" t="e">
        <f>VLOOKUP(A41,saisie!B$5:W$44,6,0)</f>
        <v>#N/A</v>
      </c>
      <c r="G41" s="150" t="e">
        <f t="shared" si="0"/>
        <v>#N/A</v>
      </c>
      <c r="H41" s="87" t="e">
        <f>VLOOKUP(A41,saisie!B$5:W$44,8,0)</f>
        <v>#N/A</v>
      </c>
      <c r="I41" s="83" t="e">
        <f>VLOOKUP(A41,saisie!B$5:W$44,9,0)</f>
        <v>#N/A</v>
      </c>
      <c r="J41" s="149" t="e">
        <f>VLOOKUP(A41,saisie!B$5:W$44,10,0)</f>
        <v>#N/A</v>
      </c>
      <c r="K41" s="149" t="e">
        <f>VLOOKUP(A41,saisie!B$5:W$44,11,0)</f>
        <v>#N/A</v>
      </c>
      <c r="L41" s="150" t="e">
        <f t="shared" si="1"/>
        <v>#N/A</v>
      </c>
      <c r="M41" s="87" t="e">
        <f>VLOOKUP(A41,saisie!B$5:W$44,13,0)</f>
        <v>#N/A</v>
      </c>
      <c r="N41" s="83" t="e">
        <f>VLOOKUP(A41,saisie!B$5:W$44,14,0)</f>
        <v>#N/A</v>
      </c>
      <c r="O41" s="149" t="e">
        <f>VLOOKUP(A41,saisie!B$5:W$44,15,0)</f>
        <v>#N/A</v>
      </c>
      <c r="P41" s="149" t="e">
        <f>VLOOKUP(A41,saisie!B$5:W$44,16,0)</f>
        <v>#N/A</v>
      </c>
      <c r="Q41" s="150" t="e">
        <f t="shared" si="2"/>
        <v>#N/A</v>
      </c>
      <c r="R41" s="87" t="e">
        <f>VLOOKUP(A41,saisie!B$5:W$44,18,0)</f>
        <v>#N/A</v>
      </c>
      <c r="S41" s="151" t="e">
        <f t="shared" si="3"/>
        <v>#N/A</v>
      </c>
      <c r="T41" s="88" t="e">
        <f>VLOOKUP(A41,saisie!B$5:W$44,20,0)</f>
        <v>#N/A</v>
      </c>
    </row>
    <row r="42" spans="1:20" s="89" customFormat="1" ht="47.1" customHeight="1" x14ac:dyDescent="0.2">
      <c r="A42" s="85" t="str">
        <f>IF(INFO!B8&gt;37,38,"")</f>
        <v/>
      </c>
      <c r="B42" s="139" t="e">
        <f>VLOOKUP(A42,saisie!B$5:W$44,2,0)</f>
        <v>#N/A</v>
      </c>
      <c r="C42" s="86" t="e">
        <f>VLOOKUP(A42,saisie!B$5:W$44,3,0)</f>
        <v>#N/A</v>
      </c>
      <c r="D42" s="83" t="e">
        <f>VLOOKUP(A42,saisie!B$5:W$44,4,0)</f>
        <v>#N/A</v>
      </c>
      <c r="E42" s="149" t="e">
        <f>VLOOKUP(A42,saisie!B$5:W$44,5,0)</f>
        <v>#N/A</v>
      </c>
      <c r="F42" s="149" t="e">
        <f>VLOOKUP(A42,saisie!B$5:W$44,6,0)</f>
        <v>#N/A</v>
      </c>
      <c r="G42" s="150" t="e">
        <f t="shared" si="0"/>
        <v>#N/A</v>
      </c>
      <c r="H42" s="87" t="e">
        <f>VLOOKUP(A42,saisie!B$5:W$44,8,0)</f>
        <v>#N/A</v>
      </c>
      <c r="I42" s="83" t="e">
        <f>VLOOKUP(A42,saisie!B$5:W$44,9,0)</f>
        <v>#N/A</v>
      </c>
      <c r="J42" s="149" t="e">
        <f>VLOOKUP(A42,saisie!B$5:W$44,10,0)</f>
        <v>#N/A</v>
      </c>
      <c r="K42" s="149" t="e">
        <f>VLOOKUP(A42,saisie!B$5:W$44,11,0)</f>
        <v>#N/A</v>
      </c>
      <c r="L42" s="150" t="e">
        <f t="shared" si="1"/>
        <v>#N/A</v>
      </c>
      <c r="M42" s="87" t="e">
        <f>VLOOKUP(A42,saisie!B$5:W$44,13,0)</f>
        <v>#N/A</v>
      </c>
      <c r="N42" s="83" t="e">
        <f>VLOOKUP(A42,saisie!B$5:W$44,14,0)</f>
        <v>#N/A</v>
      </c>
      <c r="O42" s="149" t="e">
        <f>VLOOKUP(A42,saisie!B$5:W$44,15,0)</f>
        <v>#N/A</v>
      </c>
      <c r="P42" s="149" t="e">
        <f>VLOOKUP(A42,saisie!B$5:W$44,16,0)</f>
        <v>#N/A</v>
      </c>
      <c r="Q42" s="150" t="e">
        <f t="shared" si="2"/>
        <v>#N/A</v>
      </c>
      <c r="R42" s="87" t="e">
        <f>VLOOKUP(A42,saisie!B$5:W$44,18,0)</f>
        <v>#N/A</v>
      </c>
      <c r="S42" s="151" t="e">
        <f t="shared" si="3"/>
        <v>#N/A</v>
      </c>
      <c r="T42" s="88" t="e">
        <f>VLOOKUP(A42,saisie!B$5:W$44,20,0)</f>
        <v>#N/A</v>
      </c>
    </row>
    <row r="43" spans="1:20" s="89" customFormat="1" ht="47.1" customHeight="1" x14ac:dyDescent="0.2">
      <c r="A43" s="85" t="str">
        <f>IF(INFO!B8&gt;38,39,"")</f>
        <v/>
      </c>
      <c r="B43" s="139" t="e">
        <f>VLOOKUP(A43,saisie!B$5:W$44,2,0)</f>
        <v>#N/A</v>
      </c>
      <c r="C43" s="86" t="e">
        <f>VLOOKUP(A43,saisie!B$5:W$44,3,0)</f>
        <v>#N/A</v>
      </c>
      <c r="D43" s="83" t="e">
        <f>VLOOKUP(A43,saisie!B$5:W$44,4,0)</f>
        <v>#N/A</v>
      </c>
      <c r="E43" s="149" t="e">
        <f>VLOOKUP(A43,saisie!B$5:W$44,5,0)</f>
        <v>#N/A</v>
      </c>
      <c r="F43" s="149" t="e">
        <f>VLOOKUP(A43,saisie!B$5:W$44,6,0)</f>
        <v>#N/A</v>
      </c>
      <c r="G43" s="150" t="e">
        <f t="shared" si="0"/>
        <v>#N/A</v>
      </c>
      <c r="H43" s="87" t="e">
        <f>VLOOKUP(A43,saisie!B$5:W$44,8,0)</f>
        <v>#N/A</v>
      </c>
      <c r="I43" s="83" t="e">
        <f>VLOOKUP(A43,saisie!B$5:W$44,9,0)</f>
        <v>#N/A</v>
      </c>
      <c r="J43" s="149" t="e">
        <f>VLOOKUP(A43,saisie!B$5:W$44,10,0)</f>
        <v>#N/A</v>
      </c>
      <c r="K43" s="149" t="e">
        <f>VLOOKUP(A43,saisie!B$5:W$44,11,0)</f>
        <v>#N/A</v>
      </c>
      <c r="L43" s="150" t="e">
        <f t="shared" si="1"/>
        <v>#N/A</v>
      </c>
      <c r="M43" s="87" t="e">
        <f>VLOOKUP(A43,saisie!B$5:W$44,13,0)</f>
        <v>#N/A</v>
      </c>
      <c r="N43" s="83" t="e">
        <f>VLOOKUP(A43,saisie!B$5:W$44,14,0)</f>
        <v>#N/A</v>
      </c>
      <c r="O43" s="149" t="e">
        <f>VLOOKUP(A43,saisie!B$5:W$44,15,0)</f>
        <v>#N/A</v>
      </c>
      <c r="P43" s="149" t="e">
        <f>VLOOKUP(A43,saisie!B$5:W$44,16,0)</f>
        <v>#N/A</v>
      </c>
      <c r="Q43" s="150" t="e">
        <f t="shared" si="2"/>
        <v>#N/A</v>
      </c>
      <c r="R43" s="87" t="e">
        <f>VLOOKUP(A43,saisie!B$5:W$44,18,0)</f>
        <v>#N/A</v>
      </c>
      <c r="S43" s="151" t="e">
        <f t="shared" si="3"/>
        <v>#N/A</v>
      </c>
      <c r="T43" s="88" t="e">
        <f>VLOOKUP(A43,saisie!B$5:W$44,20,0)</f>
        <v>#N/A</v>
      </c>
    </row>
    <row r="44" spans="1:20" s="89" customFormat="1" ht="47.1" customHeight="1" x14ac:dyDescent="0.2">
      <c r="A44" s="85" t="str">
        <f>IF(INFO!B8&gt;39,40,"")</f>
        <v/>
      </c>
      <c r="B44" s="139" t="e">
        <f>VLOOKUP(A44,saisie!B$5:W$44,2,0)</f>
        <v>#N/A</v>
      </c>
      <c r="C44" s="86" t="e">
        <f>VLOOKUP(A44,saisie!B$5:W$44,3,0)</f>
        <v>#N/A</v>
      </c>
      <c r="D44" s="83" t="e">
        <f>VLOOKUP(A44,saisie!B$5:W$44,4,0)</f>
        <v>#N/A</v>
      </c>
      <c r="E44" s="149" t="e">
        <f>VLOOKUP(A44,saisie!B$5:W$44,5,0)</f>
        <v>#N/A</v>
      </c>
      <c r="F44" s="149" t="e">
        <f>VLOOKUP(A44,saisie!B$5:W$44,6,0)</f>
        <v>#N/A</v>
      </c>
      <c r="G44" s="150" t="e">
        <f t="shared" si="0"/>
        <v>#N/A</v>
      </c>
      <c r="H44" s="87" t="e">
        <f>VLOOKUP(A44,saisie!B$5:W$44,8,0)</f>
        <v>#N/A</v>
      </c>
      <c r="I44" s="83" t="e">
        <f>VLOOKUP(A44,saisie!B$5:W$44,9,0)</f>
        <v>#N/A</v>
      </c>
      <c r="J44" s="149" t="e">
        <f>VLOOKUP(A44,saisie!B$5:W$44,10,0)</f>
        <v>#N/A</v>
      </c>
      <c r="K44" s="149" t="e">
        <f>VLOOKUP(A44,saisie!B$5:W$44,11,0)</f>
        <v>#N/A</v>
      </c>
      <c r="L44" s="150" t="e">
        <f t="shared" si="1"/>
        <v>#N/A</v>
      </c>
      <c r="M44" s="87" t="e">
        <f>VLOOKUP(A44,saisie!B$5:W$44,13,0)</f>
        <v>#N/A</v>
      </c>
      <c r="N44" s="83" t="e">
        <f>VLOOKUP(A44,saisie!B$5:W$44,14,0)</f>
        <v>#N/A</v>
      </c>
      <c r="O44" s="149" t="e">
        <f>VLOOKUP(A44,saisie!B$5:W$44,15,0)</f>
        <v>#N/A</v>
      </c>
      <c r="P44" s="149" t="e">
        <f>VLOOKUP(A44,saisie!B$5:W$44,16,0)</f>
        <v>#N/A</v>
      </c>
      <c r="Q44" s="150" t="e">
        <f t="shared" si="2"/>
        <v>#N/A</v>
      </c>
      <c r="R44" s="87" t="e">
        <f>VLOOKUP(A44,saisie!B$5:W$44,18,0)</f>
        <v>#N/A</v>
      </c>
      <c r="S44" s="151" t="e">
        <f t="shared" si="3"/>
        <v>#N/A</v>
      </c>
      <c r="T44" s="88" t="e">
        <f>VLOOKUP(A44,saisie!B$5:W$44,20,0)</f>
        <v>#N/A</v>
      </c>
    </row>
  </sheetData>
  <sheetProtection password="CF6D" sheet="1" scenarios="1" formatColumns="0" selectLockedCells="1"/>
  <mergeCells count="15">
    <mergeCell ref="A2:T2"/>
    <mergeCell ref="E3:F3"/>
    <mergeCell ref="J3:K3"/>
    <mergeCell ref="O3:P3"/>
    <mergeCell ref="A3:A4"/>
    <mergeCell ref="G3:G4"/>
    <mergeCell ref="T3:T4"/>
    <mergeCell ref="B3:B4"/>
    <mergeCell ref="L3:L4"/>
    <mergeCell ref="Q3:Q4"/>
    <mergeCell ref="S3:S4"/>
    <mergeCell ref="C3:C4"/>
    <mergeCell ref="H3:H4"/>
    <mergeCell ref="M3:M4"/>
    <mergeCell ref="R3:R4"/>
  </mergeCells>
  <phoneticPr fontId="2"/>
  <conditionalFormatting sqref="A5:T44">
    <cfRule type="cellIs" dxfId="38" priority="2" operator="equal">
      <formula>0</formula>
    </cfRule>
    <cfRule type="containsErrors" dxfId="37" priority="3">
      <formula>ISERROR(A5)</formula>
    </cfRule>
    <cfRule type="containsBlanks" dxfId="36" priority="6">
      <formula>LEN(TRIM(A5))=0</formula>
    </cfRule>
  </conditionalFormatting>
  <printOptions horizontalCentered="1" verticalCentered="1"/>
  <pageMargins left="0" right="0" top="0" bottom="0" header="0.19685039370078741" footer="0.19685039370078741"/>
  <pageSetup paperSize="9" scale="26" orientation="landscape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V27"/>
  <sheetViews>
    <sheetView showGridLines="0" zoomScale="75" zoomScaleNormal="75" zoomScaleSheetLayoutView="100" zoomScalePageLayoutView="75" workbookViewId="0">
      <pane ySplit="2" topLeftCell="A38" activePane="bottomLeft" state="frozenSplit"/>
      <selection sqref="A1:C1"/>
      <selection pane="bottomLeft" activeCell="N39" sqref="N39"/>
    </sheetView>
  </sheetViews>
  <sheetFormatPr baseColWidth="10" defaultColWidth="6.875" defaultRowHeight="15" x14ac:dyDescent="0.2"/>
  <cols>
    <col min="1" max="1" width="6.875" style="1" customWidth="1"/>
    <col min="2" max="2" width="20.625" style="1" customWidth="1"/>
    <col min="3" max="5" width="9.375" style="1" customWidth="1"/>
    <col min="6" max="6" width="6.625" style="1" customWidth="1"/>
    <col min="7" max="7" width="20.625" style="1" customWidth="1"/>
    <col min="8" max="10" width="9.375" style="1" customWidth="1"/>
    <col min="11" max="11" width="6.625" style="1" customWidth="1"/>
    <col min="12" max="12" width="20.625" style="1" customWidth="1"/>
    <col min="13" max="15" width="9.375" style="1" customWidth="1"/>
    <col min="16" max="16" width="6.625" style="1" customWidth="1"/>
    <col min="17" max="17" width="20.625" style="1" customWidth="1"/>
    <col min="18" max="20" width="9.375" style="1" customWidth="1"/>
    <col min="21" max="16384" width="6.875" style="1"/>
  </cols>
  <sheetData>
    <row r="1" spans="1:22" ht="39.950000000000003" customHeight="1" x14ac:dyDescent="0.2">
      <c r="A1" s="17"/>
      <c r="B1" s="218" t="str">
        <f>CONCATENATE(INFO!B7,"    ",INFO!B9)</f>
        <v>Pistolet    Ile de France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17"/>
      <c r="V1" s="17"/>
    </row>
    <row r="2" spans="1:22" ht="60" customHeight="1" x14ac:dyDescent="0.2">
      <c r="A2" s="17"/>
      <c r="B2" s="219" t="s">
        <v>17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17"/>
      <c r="V2" s="17"/>
    </row>
    <row r="3" spans="1:22" ht="5.0999999999999996" customHeight="1" thickBot="1" x14ac:dyDescent="0.25">
      <c r="A3" s="17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17"/>
      <c r="V3" s="17"/>
    </row>
    <row r="4" spans="1:22" s="33" customFormat="1" ht="24.95" customHeight="1" thickBot="1" x14ac:dyDescent="0.25">
      <c r="A4" s="32"/>
      <c r="B4" s="152" t="s">
        <v>1</v>
      </c>
      <c r="C4" s="220" t="str">
        <f>'M Q'!B5</f>
        <v>Amicale des Tireurs de Buc</v>
      </c>
      <c r="D4" s="221"/>
      <c r="E4" s="153">
        <f>'M Q'!S5</f>
        <v>420</v>
      </c>
      <c r="F4" s="154"/>
      <c r="G4" s="152" t="str">
        <f>IF(INFO!B8&gt;7,"8e MQ","")</f>
        <v/>
      </c>
      <c r="H4" s="220" t="str">
        <f>IF(INFO!B8&gt;7,'M Q'!B12,"")</f>
        <v/>
      </c>
      <c r="I4" s="221"/>
      <c r="J4" s="153" t="str">
        <f>IF(INFO!B8&gt;7,'M Q'!S12,"")</f>
        <v/>
      </c>
      <c r="K4" s="154"/>
      <c r="L4" s="152" t="s">
        <v>59</v>
      </c>
      <c r="M4" s="220" t="str">
        <f>IF(INFO!B8&gt;8,'M Q'!B13,"")</f>
        <v/>
      </c>
      <c r="N4" s="221"/>
      <c r="O4" s="153" t="str">
        <f>IF(INFO!B8&gt;8,'M Q'!S13,"")</f>
        <v/>
      </c>
      <c r="P4" s="155"/>
      <c r="Q4" s="152" t="s">
        <v>52</v>
      </c>
      <c r="R4" s="220" t="str">
        <f>IF(INFO!B8&gt;15,'M Q'!B20,"")</f>
        <v/>
      </c>
      <c r="S4" s="221"/>
      <c r="T4" s="153" t="str">
        <f>IF(INFO!B8&gt;15,'M Q'!S20,"")</f>
        <v/>
      </c>
      <c r="U4" s="32"/>
    </row>
    <row r="5" spans="1:22" s="33" customFormat="1" ht="24.95" customHeight="1" thickBot="1" x14ac:dyDescent="0.25">
      <c r="A5" s="31"/>
      <c r="B5" s="152" t="s">
        <v>32</v>
      </c>
      <c r="C5" s="156" t="s">
        <v>33</v>
      </c>
      <c r="D5" s="157" t="s">
        <v>34</v>
      </c>
      <c r="E5" s="152" t="s">
        <v>23</v>
      </c>
      <c r="F5" s="158"/>
      <c r="G5" s="152" t="s">
        <v>32</v>
      </c>
      <c r="H5" s="156" t="s">
        <v>33</v>
      </c>
      <c r="I5" s="157" t="s">
        <v>34</v>
      </c>
      <c r="J5" s="152" t="s">
        <v>23</v>
      </c>
      <c r="K5" s="158"/>
      <c r="L5" s="152" t="s">
        <v>32</v>
      </c>
      <c r="M5" s="156" t="s">
        <v>33</v>
      </c>
      <c r="N5" s="157" t="s">
        <v>34</v>
      </c>
      <c r="O5" s="152" t="s">
        <v>23</v>
      </c>
      <c r="P5" s="155"/>
      <c r="Q5" s="152" t="s">
        <v>32</v>
      </c>
      <c r="R5" s="156" t="s">
        <v>33</v>
      </c>
      <c r="S5" s="157" t="s">
        <v>34</v>
      </c>
      <c r="T5" s="152" t="s">
        <v>23</v>
      </c>
      <c r="U5" s="32"/>
    </row>
    <row r="6" spans="1:22" s="33" customFormat="1" ht="24.95" customHeight="1" x14ac:dyDescent="0.2">
      <c r="A6" s="31"/>
      <c r="B6" s="159" t="str">
        <f>'M Q'!D5</f>
        <v>ASFAUX Filip</v>
      </c>
      <c r="C6" s="160">
        <f>'M Q'!E5</f>
        <v>55</v>
      </c>
      <c r="D6" s="161">
        <f>'M Q'!F5</f>
        <v>59</v>
      </c>
      <c r="E6" s="159">
        <f>SUM(C6:D6)</f>
        <v>114</v>
      </c>
      <c r="F6" s="154"/>
      <c r="G6" s="159" t="str">
        <f>IF(INFO!B8&gt;7,'M Q'!D12,"")</f>
        <v/>
      </c>
      <c r="H6" s="160" t="str">
        <f>IF(INFO!B8&gt;7,'M Q'!E12,"")</f>
        <v/>
      </c>
      <c r="I6" s="161" t="str">
        <f>IF(INFO!B8&gt;7,'M Q'!F12,"")</f>
        <v/>
      </c>
      <c r="J6" s="159" t="str">
        <f>IF(INFO!B8&gt;7,SUM(H6:I6),"")</f>
        <v/>
      </c>
      <c r="K6" s="154"/>
      <c r="L6" s="159" t="str">
        <f>IF(INFO!B8&gt;8,'M Q'!D13,"")</f>
        <v/>
      </c>
      <c r="M6" s="160" t="str">
        <f>IF(INFO!B8&gt;8,'M Q'!E13,"")</f>
        <v/>
      </c>
      <c r="N6" s="161" t="str">
        <f>IF(INFO!B8&gt;8,'M Q'!F13,"")</f>
        <v/>
      </c>
      <c r="O6" s="159" t="str">
        <f>IF(INFO!B8&gt;8,SUM(M6:N6),"")</f>
        <v/>
      </c>
      <c r="P6" s="155"/>
      <c r="Q6" s="159" t="str">
        <f>IF(INFO!B8&gt;15,'M Q'!D20,"")</f>
        <v/>
      </c>
      <c r="R6" s="160" t="str">
        <f>IF(INFO!B8&gt;15,'M Q'!E20,"")</f>
        <v/>
      </c>
      <c r="S6" s="161" t="str">
        <f>IF(INFO!B8&gt;15,'M Q'!F20,"")</f>
        <v/>
      </c>
      <c r="T6" s="159" t="str">
        <f>IF(INFO!B8&gt;15,SUM(R6:S6),"")</f>
        <v/>
      </c>
      <c r="U6" s="32"/>
    </row>
    <row r="7" spans="1:22" s="33" customFormat="1" ht="24.95" customHeight="1" x14ac:dyDescent="0.2">
      <c r="A7" s="31"/>
      <c r="B7" s="162" t="str">
        <f>'M Q'!I5</f>
        <v>LEFEBVRE Mahaut</v>
      </c>
      <c r="C7" s="163">
        <f>'M Q'!J5</f>
        <v>72</v>
      </c>
      <c r="D7" s="164">
        <f>'M Q'!K5</f>
        <v>68</v>
      </c>
      <c r="E7" s="162">
        <f>SUM(C7:D7)</f>
        <v>140</v>
      </c>
      <c r="F7" s="154"/>
      <c r="G7" s="162" t="str">
        <f>IF(INFO!B8&gt;7,'M Q'!I12,"")</f>
        <v/>
      </c>
      <c r="H7" s="163" t="str">
        <f>IF(INFO!B8&gt;7,'M Q'!J12,"")</f>
        <v/>
      </c>
      <c r="I7" s="164" t="str">
        <f>IF(INFO!B8&gt;7,'M Q'!K12,"")</f>
        <v/>
      </c>
      <c r="J7" s="162" t="str">
        <f>IF(INFO!B8&gt;7,SUM(H7:I7),"")</f>
        <v/>
      </c>
      <c r="K7" s="154"/>
      <c r="L7" s="162" t="str">
        <f>IF(INFO!B8&gt;8,'M Q'!I13,"")</f>
        <v/>
      </c>
      <c r="M7" s="163" t="str">
        <f>IF(INFO!B8&gt;8,'M Q'!J13,"")</f>
        <v/>
      </c>
      <c r="N7" s="164" t="str">
        <f>IF(INFO!B8&gt;8,'M Q'!K13,"")</f>
        <v/>
      </c>
      <c r="O7" s="162" t="str">
        <f>IF(INFO!B8&gt;8,SUM(M7:N7),"")</f>
        <v/>
      </c>
      <c r="P7" s="155"/>
      <c r="Q7" s="162" t="str">
        <f>IF(INFO!B8&gt;15,'M Q'!I20,"")</f>
        <v/>
      </c>
      <c r="R7" s="163" t="str">
        <f>IF(INFO!B8&gt;15,'M Q'!J20,"")</f>
        <v/>
      </c>
      <c r="S7" s="164" t="str">
        <f>IF(INFO!B8&gt;15,'M Q'!K20,"")</f>
        <v/>
      </c>
      <c r="T7" s="162" t="str">
        <f>IF(INFO!B8&gt;15,SUM(R7:S7),"")</f>
        <v/>
      </c>
      <c r="U7" s="32"/>
    </row>
    <row r="8" spans="1:22" s="33" customFormat="1" ht="24.95" customHeight="1" thickBot="1" x14ac:dyDescent="0.25">
      <c r="A8" s="31"/>
      <c r="B8" s="165" t="str">
        <f>'M Q'!N5</f>
        <v>PINSON-COPIN Noa</v>
      </c>
      <c r="C8" s="166">
        <f>'M Q'!O5</f>
        <v>80</v>
      </c>
      <c r="D8" s="167">
        <f>'M Q'!P5</f>
        <v>86</v>
      </c>
      <c r="E8" s="165">
        <f>SUM(C8:D8)</f>
        <v>166</v>
      </c>
      <c r="F8" s="154"/>
      <c r="G8" s="165" t="str">
        <f>IF(INFO!B8&gt;7,'M Q'!N12,"")</f>
        <v/>
      </c>
      <c r="H8" s="166" t="str">
        <f>IF(INFO!B8&gt;7,'M Q'!O12,"")</f>
        <v/>
      </c>
      <c r="I8" s="167" t="str">
        <f>IF(INFO!B8&gt;7,'M Q'!P12,"")</f>
        <v/>
      </c>
      <c r="J8" s="165" t="str">
        <f>IF(INFO!B8&gt;7,SUM(H8:I8),"")</f>
        <v/>
      </c>
      <c r="K8" s="154"/>
      <c r="L8" s="165" t="str">
        <f>IF(INFO!B8&gt;8,'M Q'!N13,"")</f>
        <v/>
      </c>
      <c r="M8" s="166" t="str">
        <f>IF(INFO!B8&gt;8,'M Q'!O13,"")</f>
        <v/>
      </c>
      <c r="N8" s="167" t="str">
        <f>IF(INFO!B8&gt;8,'M Q'!P13,"")</f>
        <v/>
      </c>
      <c r="O8" s="165" t="str">
        <f>IF(INFO!B8&gt;8,SUM(M8:N8),"")</f>
        <v/>
      </c>
      <c r="P8" s="155"/>
      <c r="Q8" s="165" t="str">
        <f>IF(INFO!B8&gt;15,'M Q'!N20,"")</f>
        <v/>
      </c>
      <c r="R8" s="166" t="str">
        <f>IF(INFO!B8&gt;15,'M Q'!O20,"")</f>
        <v/>
      </c>
      <c r="S8" s="167" t="str">
        <f>IF(INFO!B8&gt;15,'M Q'!P20,"")</f>
        <v/>
      </c>
      <c r="T8" s="165" t="str">
        <f>IF(INFO!B8&gt;15,SUM(R8:S8),"")</f>
        <v/>
      </c>
      <c r="U8" s="32"/>
    </row>
    <row r="9" spans="1:22" s="33" customFormat="1" ht="24.95" customHeight="1" thickBot="1" x14ac:dyDescent="0.25">
      <c r="A9" s="34"/>
      <c r="B9" s="168"/>
      <c r="C9" s="155"/>
      <c r="D9" s="155"/>
      <c r="E9" s="168"/>
      <c r="F9" s="168"/>
      <c r="G9" s="169"/>
      <c r="H9" s="169"/>
      <c r="I9" s="169"/>
      <c r="J9" s="169"/>
      <c r="K9" s="168"/>
      <c r="L9" s="170"/>
      <c r="M9" s="171"/>
      <c r="N9" s="171"/>
      <c r="O9" s="170"/>
      <c r="P9" s="155"/>
      <c r="Q9" s="168"/>
      <c r="R9" s="155"/>
      <c r="S9" s="155"/>
      <c r="T9" s="168"/>
      <c r="U9" s="32"/>
    </row>
    <row r="10" spans="1:22" s="33" customFormat="1" ht="24.95" customHeight="1" thickBot="1" x14ac:dyDescent="0.25">
      <c r="A10" s="34"/>
      <c r="B10" s="152" t="s">
        <v>2</v>
      </c>
      <c r="C10" s="220" t="str">
        <f>'M Q'!B6</f>
        <v>Tir National de Versailles</v>
      </c>
      <c r="D10" s="221"/>
      <c r="E10" s="153">
        <f>'M Q'!S6</f>
        <v>346</v>
      </c>
      <c r="F10" s="154"/>
      <c r="G10" s="152" t="str">
        <f>IF(INFO!B8&gt;6,"7e MQ","")</f>
        <v/>
      </c>
      <c r="H10" s="220" t="str">
        <f>IF(INFO!B8&gt;6,'M Q'!B11,"")</f>
        <v/>
      </c>
      <c r="I10" s="221"/>
      <c r="J10" s="153" t="str">
        <f>IF(INFO!B8&gt;6,'M Q'!S11,"")</f>
        <v/>
      </c>
      <c r="K10" s="154"/>
      <c r="L10" s="152" t="s">
        <v>58</v>
      </c>
      <c r="M10" s="220" t="str">
        <f>IF(INFO!B8&gt;9,'M Q'!B14,"")</f>
        <v/>
      </c>
      <c r="N10" s="221"/>
      <c r="O10" s="153" t="str">
        <f>IF(INFO!B8&gt;9,'M Q'!S14,"")</f>
        <v/>
      </c>
      <c r="P10" s="155"/>
      <c r="Q10" s="152" t="s">
        <v>53</v>
      </c>
      <c r="R10" s="220" t="str">
        <f>IF(INFO!B8&gt;14,'M Q'!B19,"")</f>
        <v/>
      </c>
      <c r="S10" s="221"/>
      <c r="T10" s="153" t="str">
        <f>IF(INFO!B8&gt;14,'M Q'!S19,"")</f>
        <v/>
      </c>
      <c r="U10" s="32"/>
    </row>
    <row r="11" spans="1:22" s="33" customFormat="1" ht="24.95" customHeight="1" thickBot="1" x14ac:dyDescent="0.25">
      <c r="A11" s="31"/>
      <c r="B11" s="152" t="s">
        <v>32</v>
      </c>
      <c r="C11" s="156" t="s">
        <v>33</v>
      </c>
      <c r="D11" s="157" t="s">
        <v>34</v>
      </c>
      <c r="E11" s="152" t="s">
        <v>23</v>
      </c>
      <c r="F11" s="158"/>
      <c r="G11" s="152" t="s">
        <v>32</v>
      </c>
      <c r="H11" s="156" t="s">
        <v>33</v>
      </c>
      <c r="I11" s="157" t="s">
        <v>34</v>
      </c>
      <c r="J11" s="152" t="s">
        <v>23</v>
      </c>
      <c r="K11" s="158"/>
      <c r="L11" s="152" t="s">
        <v>32</v>
      </c>
      <c r="M11" s="156" t="s">
        <v>33</v>
      </c>
      <c r="N11" s="157" t="s">
        <v>34</v>
      </c>
      <c r="O11" s="152" t="s">
        <v>23</v>
      </c>
      <c r="P11" s="155"/>
      <c r="Q11" s="152" t="s">
        <v>32</v>
      </c>
      <c r="R11" s="156" t="s">
        <v>33</v>
      </c>
      <c r="S11" s="157" t="s">
        <v>34</v>
      </c>
      <c r="T11" s="152" t="s">
        <v>23</v>
      </c>
      <c r="U11" s="32"/>
    </row>
    <row r="12" spans="1:22" s="33" customFormat="1" ht="24.95" customHeight="1" x14ac:dyDescent="0.2">
      <c r="A12" s="31"/>
      <c r="B12" s="159" t="str">
        <f>'M Q'!D6</f>
        <v>ECHEGU Eloïs</v>
      </c>
      <c r="C12" s="160">
        <f>'M Q'!E6</f>
        <v>56</v>
      </c>
      <c r="D12" s="161">
        <f>'M Q'!F6</f>
        <v>65</v>
      </c>
      <c r="E12" s="159">
        <f>SUM(C12:D12)</f>
        <v>121</v>
      </c>
      <c r="F12" s="154"/>
      <c r="G12" s="159" t="str">
        <f>IF(INFO!B8&gt;6,'M Q'!D11,"")</f>
        <v/>
      </c>
      <c r="H12" s="160" t="str">
        <f>IF(INFO!B8&gt;6,'M Q'!E11,"")</f>
        <v/>
      </c>
      <c r="I12" s="161" t="str">
        <f>IF(INFO!B8&gt;6,'M Q'!F11,"")</f>
        <v/>
      </c>
      <c r="J12" s="159" t="str">
        <f>IF(INFO!B8&gt;6,SUM(H12:I12),"")</f>
        <v/>
      </c>
      <c r="K12" s="154"/>
      <c r="L12" s="159" t="str">
        <f>IF(INFO!B8&gt;9,'M Q'!D14,"")</f>
        <v/>
      </c>
      <c r="M12" s="160" t="str">
        <f>IF(INFO!B8&gt;9,'M Q'!E14,"")</f>
        <v/>
      </c>
      <c r="N12" s="161" t="str">
        <f>IF(INFO!B8&gt;9,'M Q'!F14,"")</f>
        <v/>
      </c>
      <c r="O12" s="159" t="str">
        <f>IF(INFO!B8&gt;9,SUM(M12:N12),"")</f>
        <v/>
      </c>
      <c r="P12" s="155"/>
      <c r="Q12" s="159" t="str">
        <f>IF(INFO!B8&gt;14,'M Q'!D19,"")</f>
        <v/>
      </c>
      <c r="R12" s="160" t="str">
        <f>IF(INFO!B8&gt;14,'M Q'!E19,"")</f>
        <v/>
      </c>
      <c r="S12" s="161" t="str">
        <f>IF(INFO!B8&gt;14,'M Q'!F19,"")</f>
        <v/>
      </c>
      <c r="T12" s="159" t="str">
        <f>IF(INFO!B8&gt;14,SUM(R12:S12),"")</f>
        <v/>
      </c>
      <c r="U12" s="32"/>
    </row>
    <row r="13" spans="1:22" s="33" customFormat="1" ht="24.95" customHeight="1" x14ac:dyDescent="0.2">
      <c r="A13" s="31"/>
      <c r="B13" s="162" t="str">
        <f>'M Q'!I6</f>
        <v>LAMBERT Dorian</v>
      </c>
      <c r="C13" s="163">
        <f>'M Q'!J6</f>
        <v>59</v>
      </c>
      <c r="D13" s="164">
        <f>'M Q'!K6</f>
        <v>50</v>
      </c>
      <c r="E13" s="162">
        <f>SUM(C13:D13)</f>
        <v>109</v>
      </c>
      <c r="F13" s="154"/>
      <c r="G13" s="162" t="str">
        <f>IF(INFO!B8&gt;6,'M Q'!I11,"")</f>
        <v/>
      </c>
      <c r="H13" s="163" t="str">
        <f>IF(INFO!B8&gt;6,'M Q'!J11,"")</f>
        <v/>
      </c>
      <c r="I13" s="164" t="str">
        <f>IF(INFO!B8&gt;6,'M Q'!K11,"")</f>
        <v/>
      </c>
      <c r="J13" s="162" t="str">
        <f>IF(INFO!B8&gt;6,SUM(H13:I13),"")</f>
        <v/>
      </c>
      <c r="K13" s="154"/>
      <c r="L13" s="162" t="str">
        <f>IF(INFO!B8&gt;9,'M Q'!I14,"")</f>
        <v/>
      </c>
      <c r="M13" s="163" t="str">
        <f>IF(INFO!B8&gt;9,'M Q'!J14,"")</f>
        <v/>
      </c>
      <c r="N13" s="164" t="str">
        <f>IF(INFO!B8&gt;9,'M Q'!K14,"")</f>
        <v/>
      </c>
      <c r="O13" s="162" t="str">
        <f>IF(INFO!B8&gt;9,SUM(M13:N13),"")</f>
        <v/>
      </c>
      <c r="P13" s="155"/>
      <c r="Q13" s="162" t="str">
        <f>IF(INFO!B8&gt;14,'M Q'!I19,"")</f>
        <v/>
      </c>
      <c r="R13" s="163" t="str">
        <f>IF(INFO!B8&gt;14,'M Q'!J19,"")</f>
        <v/>
      </c>
      <c r="S13" s="164" t="str">
        <f>IF(INFO!B8&gt;14,'M Q'!K19,"")</f>
        <v/>
      </c>
      <c r="T13" s="162" t="str">
        <f>IF(INFO!B8&gt;14,SUM(R13:S13),"")</f>
        <v/>
      </c>
      <c r="U13" s="32"/>
    </row>
    <row r="14" spans="1:22" s="33" customFormat="1" ht="24.95" customHeight="1" thickBot="1" x14ac:dyDescent="0.25">
      <c r="A14" s="31"/>
      <c r="B14" s="165" t="str">
        <f>'M Q'!N6</f>
        <v>BOUGEARD Amandine</v>
      </c>
      <c r="C14" s="166">
        <f>'M Q'!O6</f>
        <v>72</v>
      </c>
      <c r="D14" s="167">
        <f>'M Q'!P6</f>
        <v>44</v>
      </c>
      <c r="E14" s="165">
        <f>SUM(C14:D14)</f>
        <v>116</v>
      </c>
      <c r="F14" s="154"/>
      <c r="G14" s="165" t="str">
        <f>IF(INFO!B8&gt;6,'M Q'!N11,"")</f>
        <v/>
      </c>
      <c r="H14" s="166" t="str">
        <f>IF(INFO!B8&gt;6,'M Q'!O11,"")</f>
        <v/>
      </c>
      <c r="I14" s="167" t="str">
        <f>IF(INFO!B8&gt;6,'M Q'!P11,"")</f>
        <v/>
      </c>
      <c r="J14" s="165" t="str">
        <f>IF(INFO!B8&gt;6,SUM(H14:I14),"")</f>
        <v/>
      </c>
      <c r="K14" s="154"/>
      <c r="L14" s="165" t="str">
        <f>IF(INFO!B8&gt;9,'M Q'!N14,"")</f>
        <v/>
      </c>
      <c r="M14" s="166" t="str">
        <f>IF(INFO!B8&gt;9,'M Q'!O14,"")</f>
        <v/>
      </c>
      <c r="N14" s="167" t="str">
        <f>IF(INFO!B8&gt;9,'M Q'!P14,"")</f>
        <v/>
      </c>
      <c r="O14" s="165" t="str">
        <f>IF(INFO!B8&gt;9,SUM(M14:N14),"")</f>
        <v/>
      </c>
      <c r="P14" s="155"/>
      <c r="Q14" s="165" t="str">
        <f>IF(INFO!B8&gt;14,'M Q'!N19,"")</f>
        <v/>
      </c>
      <c r="R14" s="166" t="str">
        <f>IF(INFO!B8&gt;14,'M Q'!O19,"")</f>
        <v/>
      </c>
      <c r="S14" s="167" t="str">
        <f>IF(INFO!B8&gt;14,'M Q'!P19,"")</f>
        <v/>
      </c>
      <c r="T14" s="165" t="str">
        <f>IF(INFO!B8&gt;14,SUM(R14:S14),"")</f>
        <v/>
      </c>
      <c r="U14" s="32"/>
    </row>
    <row r="15" spans="1:22" s="33" customFormat="1" ht="24.95" customHeight="1" thickBot="1" x14ac:dyDescent="0.25">
      <c r="A15" s="34"/>
      <c r="B15" s="168"/>
      <c r="C15" s="155"/>
      <c r="D15" s="155"/>
      <c r="E15" s="168"/>
      <c r="F15" s="168"/>
      <c r="G15" s="169"/>
      <c r="H15" s="169"/>
      <c r="I15" s="169"/>
      <c r="J15" s="169"/>
      <c r="K15" s="168"/>
      <c r="L15" s="170"/>
      <c r="M15" s="171"/>
      <c r="N15" s="171"/>
      <c r="O15" s="170"/>
      <c r="P15" s="155"/>
      <c r="Q15" s="168"/>
      <c r="R15" s="155"/>
      <c r="S15" s="155"/>
      <c r="T15" s="168"/>
      <c r="U15" s="32"/>
    </row>
    <row r="16" spans="1:22" s="33" customFormat="1" ht="24.95" customHeight="1" thickBot="1" x14ac:dyDescent="0.25">
      <c r="A16" s="34"/>
      <c r="B16" s="152" t="str">
        <f>IF(INFO!B8&gt;2,"3e MQ","")</f>
        <v/>
      </c>
      <c r="C16" s="220" t="str">
        <f>IF(INFO!B8&gt;2,'M Q'!B7,"")</f>
        <v/>
      </c>
      <c r="D16" s="221"/>
      <c r="E16" s="153" t="str">
        <f>IF(INFO!B8&gt;2,'M Q'!S7,"")</f>
        <v/>
      </c>
      <c r="F16" s="154"/>
      <c r="G16" s="152" t="str">
        <f>IF(INFO!B8&gt;5,"6e MQ","")</f>
        <v/>
      </c>
      <c r="H16" s="220" t="str">
        <f>IF(INFO!B8&gt;5,'M Q'!B10,"")</f>
        <v/>
      </c>
      <c r="I16" s="221"/>
      <c r="J16" s="153" t="str">
        <f>IF(INFO!B8&gt;5,'M Q'!S10,"")</f>
        <v/>
      </c>
      <c r="K16" s="154"/>
      <c r="L16" s="152" t="s">
        <v>57</v>
      </c>
      <c r="M16" s="220" t="str">
        <f>IF(INFO!B8&gt;10,'M Q'!B15,"")</f>
        <v/>
      </c>
      <c r="N16" s="221"/>
      <c r="O16" s="153" t="str">
        <f>IF(INFO!B8&gt;10,'M Q'!S15,"")</f>
        <v/>
      </c>
      <c r="P16" s="155"/>
      <c r="Q16" s="152" t="s">
        <v>54</v>
      </c>
      <c r="R16" s="220" t="str">
        <f>IF(INFO!B8&gt;13,'M Q'!B18,"")</f>
        <v/>
      </c>
      <c r="S16" s="221"/>
      <c r="T16" s="153" t="str">
        <f>IF(INFO!B8&gt;13,'M Q'!S18,"")</f>
        <v/>
      </c>
      <c r="U16" s="32"/>
    </row>
    <row r="17" spans="1:21" s="33" customFormat="1" ht="24.95" customHeight="1" thickBot="1" x14ac:dyDescent="0.25">
      <c r="A17" s="31"/>
      <c r="B17" s="152" t="s">
        <v>32</v>
      </c>
      <c r="C17" s="156" t="s">
        <v>33</v>
      </c>
      <c r="D17" s="157" t="s">
        <v>34</v>
      </c>
      <c r="E17" s="152" t="s">
        <v>23</v>
      </c>
      <c r="F17" s="158"/>
      <c r="G17" s="152" t="s">
        <v>32</v>
      </c>
      <c r="H17" s="156" t="s">
        <v>33</v>
      </c>
      <c r="I17" s="157" t="s">
        <v>34</v>
      </c>
      <c r="J17" s="152" t="s">
        <v>23</v>
      </c>
      <c r="K17" s="158"/>
      <c r="L17" s="152" t="s">
        <v>32</v>
      </c>
      <c r="M17" s="156" t="s">
        <v>33</v>
      </c>
      <c r="N17" s="157" t="s">
        <v>34</v>
      </c>
      <c r="O17" s="152" t="s">
        <v>23</v>
      </c>
      <c r="P17" s="155"/>
      <c r="Q17" s="152" t="s">
        <v>32</v>
      </c>
      <c r="R17" s="156" t="s">
        <v>33</v>
      </c>
      <c r="S17" s="157" t="s">
        <v>34</v>
      </c>
      <c r="T17" s="152" t="s">
        <v>23</v>
      </c>
      <c r="U17" s="32"/>
    </row>
    <row r="18" spans="1:21" s="33" customFormat="1" ht="24.95" customHeight="1" x14ac:dyDescent="0.2">
      <c r="A18" s="31"/>
      <c r="B18" s="159" t="str">
        <f>IF(INFO!B8&gt;2,'M Q'!D7,"")</f>
        <v/>
      </c>
      <c r="C18" s="160" t="str">
        <f>IF(INFO!B8&gt;2,'M Q'!E7,"")</f>
        <v/>
      </c>
      <c r="D18" s="161" t="str">
        <f>IF(INFO!B8&gt;2,'M Q'!F7,"")</f>
        <v/>
      </c>
      <c r="E18" s="159" t="str">
        <f>IF(INFO!B8&gt;2,SUM(C18:D18),"")</f>
        <v/>
      </c>
      <c r="F18" s="154"/>
      <c r="G18" s="159" t="str">
        <f>IF(INFO!B8&gt;5,'M Q'!D10,"")</f>
        <v/>
      </c>
      <c r="H18" s="160" t="str">
        <f>IF(INFO!B8&gt;5,'M Q'!E10,"")</f>
        <v/>
      </c>
      <c r="I18" s="161" t="str">
        <f>IF(INFO!B8&gt;5,'M Q'!F10,"")</f>
        <v/>
      </c>
      <c r="J18" s="159" t="str">
        <f>IF(INFO!B8&gt;5,SUM(H18:I18),"")</f>
        <v/>
      </c>
      <c r="K18" s="154"/>
      <c r="L18" s="159" t="str">
        <f>IF(INFO!B8&gt;10,'M Q'!D15,"")</f>
        <v/>
      </c>
      <c r="M18" s="160" t="str">
        <f>IF(INFO!B8&gt;10,'M Q'!E15,"")</f>
        <v/>
      </c>
      <c r="N18" s="161" t="str">
        <f>IF(INFO!B8&gt;10,'M Q'!F15,"")</f>
        <v/>
      </c>
      <c r="O18" s="159" t="str">
        <f>IF(INFO!B8&gt;10,SUM(M18:N18),"")</f>
        <v/>
      </c>
      <c r="P18" s="155"/>
      <c r="Q18" s="159" t="str">
        <f>IF(INFO!B8&gt;13,'M Q'!D18,"")</f>
        <v/>
      </c>
      <c r="R18" s="160" t="str">
        <f>IF(INFO!B8&gt;13,'M Q'!E18,"")</f>
        <v/>
      </c>
      <c r="S18" s="161" t="str">
        <f>IF(INFO!B8&gt;13,'M Q'!F18,"")</f>
        <v/>
      </c>
      <c r="T18" s="159" t="str">
        <f>IF(INFO!B8&gt;13,SUM(R18:S18),"")</f>
        <v/>
      </c>
      <c r="U18" s="32"/>
    </row>
    <row r="19" spans="1:21" s="33" customFormat="1" ht="24.95" customHeight="1" x14ac:dyDescent="0.2">
      <c r="A19" s="31"/>
      <c r="B19" s="162" t="str">
        <f>IF(INFO!B8&gt;2,'M Q'!I7,"")</f>
        <v/>
      </c>
      <c r="C19" s="163" t="str">
        <f>IF(INFO!B8&gt;2,'M Q'!J7,"")</f>
        <v/>
      </c>
      <c r="D19" s="164" t="str">
        <f>IF(INFO!B8&gt;2,'M Q'!K7,"")</f>
        <v/>
      </c>
      <c r="E19" s="162" t="str">
        <f>IF(INFO!B8&gt;2,SUM(C19:D19),"")</f>
        <v/>
      </c>
      <c r="F19" s="154"/>
      <c r="G19" s="162" t="str">
        <f>IF(INFO!B8&gt;5,'M Q'!I10,"")</f>
        <v/>
      </c>
      <c r="H19" s="163" t="str">
        <f>IF(INFO!B8&gt;5,'M Q'!J10,"")</f>
        <v/>
      </c>
      <c r="I19" s="164" t="str">
        <f>IF(INFO!B8&gt;5,'M Q'!K10,"")</f>
        <v/>
      </c>
      <c r="J19" s="162" t="str">
        <f>IF(INFO!B8&gt;5,SUM(H19:I19),"")</f>
        <v/>
      </c>
      <c r="K19" s="154"/>
      <c r="L19" s="162" t="str">
        <f>IF(INFO!B8&gt;10,'M Q'!I15,"")</f>
        <v/>
      </c>
      <c r="M19" s="163" t="str">
        <f>IF(INFO!B8&gt;10,'M Q'!J15,"")</f>
        <v/>
      </c>
      <c r="N19" s="164" t="str">
        <f>IF(INFO!B8&gt;10,'M Q'!K15,"")</f>
        <v/>
      </c>
      <c r="O19" s="162" t="str">
        <f>IF(INFO!B8&gt;10,SUM(M19:N19),"")</f>
        <v/>
      </c>
      <c r="P19" s="155"/>
      <c r="Q19" s="162" t="str">
        <f>IF(INFO!B8&gt;13,'M Q'!I18,"")</f>
        <v/>
      </c>
      <c r="R19" s="163" t="str">
        <f>IF(INFO!B8&gt;13,'M Q'!J18,"")</f>
        <v/>
      </c>
      <c r="S19" s="164" t="str">
        <f>IF(INFO!B8&gt;13,'M Q'!K18,"")</f>
        <v/>
      </c>
      <c r="T19" s="162" t="str">
        <f>IF(INFO!B8&gt;13,SUM(R19:S19),"")</f>
        <v/>
      </c>
      <c r="U19" s="32"/>
    </row>
    <row r="20" spans="1:21" s="33" customFormat="1" ht="24.95" customHeight="1" thickBot="1" x14ac:dyDescent="0.25">
      <c r="A20" s="31"/>
      <c r="B20" s="165" t="str">
        <f>IF(INFO!B8&gt;2,'M Q'!N7,"")</f>
        <v/>
      </c>
      <c r="C20" s="166" t="str">
        <f>IF(INFO!B8&gt;2,'M Q'!O7,"")</f>
        <v/>
      </c>
      <c r="D20" s="167" t="str">
        <f>IF(INFO!B8&gt;2,'M Q'!P7,"")</f>
        <v/>
      </c>
      <c r="E20" s="165" t="str">
        <f>IF(INFO!B8&gt;2,SUM(C20:D20),"")</f>
        <v/>
      </c>
      <c r="F20" s="154"/>
      <c r="G20" s="165" t="str">
        <f>IF(INFO!B8&gt;5,'M Q'!N10,"")</f>
        <v/>
      </c>
      <c r="H20" s="166" t="str">
        <f>IF(INFO!B8&gt;5,'M Q'!O10,"")</f>
        <v/>
      </c>
      <c r="I20" s="167" t="str">
        <f>IF(INFO!B8&gt;5,'M Q'!P10,"")</f>
        <v/>
      </c>
      <c r="J20" s="165" t="str">
        <f>IF(INFO!B8&gt;5,SUM(H20:I20),"")</f>
        <v/>
      </c>
      <c r="K20" s="154"/>
      <c r="L20" s="165" t="str">
        <f>IF(INFO!B8&gt;10,'M Q'!N15,"")</f>
        <v/>
      </c>
      <c r="M20" s="166" t="str">
        <f>IF(INFO!B8&gt;10,'M Q'!O15,"")</f>
        <v/>
      </c>
      <c r="N20" s="167" t="str">
        <f>IF(INFO!B8&gt;10,'M Q'!P15,"")</f>
        <v/>
      </c>
      <c r="O20" s="165" t="str">
        <f>IF(INFO!B8&gt;10,SUM(M20:N20),"")</f>
        <v/>
      </c>
      <c r="P20" s="155"/>
      <c r="Q20" s="165" t="str">
        <f>IF(INFO!B8&gt;13,'M Q'!N18,"")</f>
        <v/>
      </c>
      <c r="R20" s="166" t="str">
        <f>IF(INFO!B8&gt;13,'M Q'!O18,"")</f>
        <v/>
      </c>
      <c r="S20" s="167" t="str">
        <f>IF(INFO!B8&gt;13,'M Q'!P18,"")</f>
        <v/>
      </c>
      <c r="T20" s="165" t="str">
        <f>IF(INFO!B8&gt;13,SUM(R20:S20),"")</f>
        <v/>
      </c>
      <c r="U20" s="32"/>
    </row>
    <row r="21" spans="1:21" s="33" customFormat="1" ht="24.95" customHeight="1" thickBot="1" x14ac:dyDescent="0.25">
      <c r="A21" s="34"/>
      <c r="B21" s="168"/>
      <c r="C21" s="155"/>
      <c r="D21" s="155"/>
      <c r="E21" s="168"/>
      <c r="F21" s="168"/>
      <c r="G21" s="169"/>
      <c r="H21" s="169"/>
      <c r="I21" s="169"/>
      <c r="J21" s="169"/>
      <c r="K21" s="168"/>
      <c r="L21" s="170"/>
      <c r="M21" s="171"/>
      <c r="N21" s="171"/>
      <c r="O21" s="170"/>
      <c r="P21" s="155"/>
      <c r="Q21" s="168"/>
      <c r="R21" s="155"/>
      <c r="S21" s="155"/>
      <c r="T21" s="168"/>
      <c r="U21" s="32"/>
    </row>
    <row r="22" spans="1:21" s="33" customFormat="1" ht="24.95" customHeight="1" thickBot="1" x14ac:dyDescent="0.25">
      <c r="A22" s="34"/>
      <c r="B22" s="152" t="str">
        <f>IF(INFO!B8&gt;3,"4e MQ","")</f>
        <v/>
      </c>
      <c r="C22" s="220" t="str">
        <f>IF(INFO!B8&gt;3,'M Q'!B8,"")</f>
        <v/>
      </c>
      <c r="D22" s="221"/>
      <c r="E22" s="153" t="str">
        <f>IF(INFO!B8&gt;3,'M Q'!S8,"")</f>
        <v/>
      </c>
      <c r="F22" s="154"/>
      <c r="G22" s="152" t="str">
        <f>IF(INFO!B8&gt;4,"5e MQ","")</f>
        <v/>
      </c>
      <c r="H22" s="220" t="str">
        <f>IF(INFO!B8&gt;4,'M Q'!B9,"")</f>
        <v/>
      </c>
      <c r="I22" s="221"/>
      <c r="J22" s="153" t="str">
        <f>IF(INFO!B8&gt;4,'M Q'!S9,"")</f>
        <v/>
      </c>
      <c r="K22" s="154"/>
      <c r="L22" s="152" t="s">
        <v>56</v>
      </c>
      <c r="M22" s="220" t="str">
        <f>IF(INFO!B8&gt;11,'M Q'!B16,"")</f>
        <v/>
      </c>
      <c r="N22" s="221"/>
      <c r="O22" s="153" t="str">
        <f>IF(INFO!B8&gt;11,'M Q'!S16,"")</f>
        <v/>
      </c>
      <c r="P22" s="155"/>
      <c r="Q22" s="152" t="s">
        <v>55</v>
      </c>
      <c r="R22" s="220" t="str">
        <f>IF(INFO!B8&gt;12,'M Q'!B17,"")</f>
        <v/>
      </c>
      <c r="S22" s="221"/>
      <c r="T22" s="153" t="str">
        <f>IF(INFO!B8&gt;12,'M Q'!S17,"")</f>
        <v/>
      </c>
      <c r="U22" s="32"/>
    </row>
    <row r="23" spans="1:21" s="33" customFormat="1" ht="24.95" customHeight="1" thickBot="1" x14ac:dyDescent="0.25">
      <c r="A23" s="31"/>
      <c r="B23" s="152" t="s">
        <v>32</v>
      </c>
      <c r="C23" s="156" t="s">
        <v>33</v>
      </c>
      <c r="D23" s="157" t="s">
        <v>34</v>
      </c>
      <c r="E23" s="152" t="s">
        <v>23</v>
      </c>
      <c r="F23" s="158"/>
      <c r="G23" s="152" t="s">
        <v>32</v>
      </c>
      <c r="H23" s="156" t="s">
        <v>33</v>
      </c>
      <c r="I23" s="157" t="s">
        <v>34</v>
      </c>
      <c r="J23" s="152" t="s">
        <v>23</v>
      </c>
      <c r="K23" s="158"/>
      <c r="L23" s="152" t="s">
        <v>32</v>
      </c>
      <c r="M23" s="156" t="s">
        <v>33</v>
      </c>
      <c r="N23" s="157" t="s">
        <v>34</v>
      </c>
      <c r="O23" s="152" t="s">
        <v>23</v>
      </c>
      <c r="P23" s="155"/>
      <c r="Q23" s="152" t="s">
        <v>32</v>
      </c>
      <c r="R23" s="156" t="s">
        <v>33</v>
      </c>
      <c r="S23" s="157" t="s">
        <v>34</v>
      </c>
      <c r="T23" s="152" t="s">
        <v>23</v>
      </c>
      <c r="U23" s="32"/>
    </row>
    <row r="24" spans="1:21" s="33" customFormat="1" ht="24.95" customHeight="1" x14ac:dyDescent="0.2">
      <c r="A24" s="31"/>
      <c r="B24" s="159" t="str">
        <f>IF(INFO!B8&gt;3,'M Q'!D8,"")</f>
        <v/>
      </c>
      <c r="C24" s="160" t="str">
        <f>IF(INFO!B8&gt;3,'M Q'!E8,"")</f>
        <v/>
      </c>
      <c r="D24" s="161" t="str">
        <f>IF(INFO!B8&gt;3,'M Q'!F8,"")</f>
        <v/>
      </c>
      <c r="E24" s="159" t="str">
        <f>IF(INFO!B8&gt;3,SUM(C24:D24),"")</f>
        <v/>
      </c>
      <c r="F24" s="154"/>
      <c r="G24" s="159" t="str">
        <f>IF(INFO!B8&gt;4,'M Q'!D9,"")</f>
        <v/>
      </c>
      <c r="H24" s="160" t="str">
        <f>IF(INFO!B8&gt;4,'M Q'!E9,"")</f>
        <v/>
      </c>
      <c r="I24" s="161" t="str">
        <f>IF(INFO!B8&gt;4,'M Q'!F9,"")</f>
        <v/>
      </c>
      <c r="J24" s="159" t="str">
        <f>IF(INFO!B8&gt;4,SUM(H24:I24),"")</f>
        <v/>
      </c>
      <c r="K24" s="154"/>
      <c r="L24" s="159" t="str">
        <f>IF(INFO!B8&gt;11,'M Q'!D16,"")</f>
        <v/>
      </c>
      <c r="M24" s="160" t="str">
        <f>IF(INFO!B8&gt;11,'M Q'!E16,"")</f>
        <v/>
      </c>
      <c r="N24" s="161" t="str">
        <f>IF(INFO!B8&gt;11,'M Q'!F16,"")</f>
        <v/>
      </c>
      <c r="O24" s="159" t="str">
        <f>IF(INFO!B8&gt;11,SUM(M24:N24),"")</f>
        <v/>
      </c>
      <c r="P24" s="155"/>
      <c r="Q24" s="159" t="str">
        <f>IF(INFO!B8&gt;12,'M Q'!D17,"")</f>
        <v/>
      </c>
      <c r="R24" s="160" t="str">
        <f>IF(INFO!B8&gt;12,'M Q'!E17,"")</f>
        <v/>
      </c>
      <c r="S24" s="161" t="str">
        <f>IF(INFO!B8&gt;12,'M Q'!F17,"")</f>
        <v/>
      </c>
      <c r="T24" s="159" t="str">
        <f>IF(INFO!B8&gt;12,SUM(R24:S24),"")</f>
        <v/>
      </c>
      <c r="U24" s="32"/>
    </row>
    <row r="25" spans="1:21" s="33" customFormat="1" ht="24.95" customHeight="1" x14ac:dyDescent="0.2">
      <c r="A25" s="31"/>
      <c r="B25" s="162" t="str">
        <f>IF(INFO!B8&gt;3,'M Q'!I8,"")</f>
        <v/>
      </c>
      <c r="C25" s="163" t="str">
        <f>IF(INFO!B8&gt;3,'M Q'!J8,"")</f>
        <v/>
      </c>
      <c r="D25" s="164" t="str">
        <f>IF(INFO!B8&gt;3,'M Q'!K8,"")</f>
        <v/>
      </c>
      <c r="E25" s="162" t="str">
        <f>IF(INFO!B8&gt;3,SUM(C25:D25),"")</f>
        <v/>
      </c>
      <c r="F25" s="154"/>
      <c r="G25" s="162" t="str">
        <f>IF(INFO!B8&gt;4,'M Q'!I9,"")</f>
        <v/>
      </c>
      <c r="H25" s="163" t="str">
        <f>IF(INFO!B8&gt;4,'M Q'!J9,"")</f>
        <v/>
      </c>
      <c r="I25" s="164" t="str">
        <f>IF(INFO!B8&gt;4,'M Q'!K9,"")</f>
        <v/>
      </c>
      <c r="J25" s="162" t="str">
        <f>IF(INFO!B8&gt;4,SUM(H25:I25),"")</f>
        <v/>
      </c>
      <c r="K25" s="154"/>
      <c r="L25" s="162" t="str">
        <f>IF(INFO!B8&gt;11,'M Q'!I16,"")</f>
        <v/>
      </c>
      <c r="M25" s="163" t="str">
        <f>IF(INFO!B8&gt;11,'M Q'!J16,"")</f>
        <v/>
      </c>
      <c r="N25" s="164" t="str">
        <f>IF(INFO!B8&gt;11,'M Q'!K16,"")</f>
        <v/>
      </c>
      <c r="O25" s="162" t="str">
        <f>IF(INFO!B8&gt;11,SUM(M25:N25),"")</f>
        <v/>
      </c>
      <c r="P25" s="155"/>
      <c r="Q25" s="162" t="str">
        <f>IF(INFO!B8&gt;12,'M Q'!I17,"")</f>
        <v/>
      </c>
      <c r="R25" s="163" t="str">
        <f>IF(INFO!B8&gt;12,'M Q'!J17,"")</f>
        <v/>
      </c>
      <c r="S25" s="164" t="str">
        <f>IF(INFO!B8&gt;12,'M Q'!K17,"")</f>
        <v/>
      </c>
      <c r="T25" s="162" t="str">
        <f>IF(INFO!B8&gt;12,SUM(R25:S25),"")</f>
        <v/>
      </c>
      <c r="U25" s="32"/>
    </row>
    <row r="26" spans="1:21" s="33" customFormat="1" ht="24.95" customHeight="1" thickBot="1" x14ac:dyDescent="0.25">
      <c r="A26" s="31"/>
      <c r="B26" s="165" t="str">
        <f>IF(INFO!B8&gt;3,'M Q'!N8,"")</f>
        <v/>
      </c>
      <c r="C26" s="166" t="str">
        <f>IF(INFO!B8&gt;3,'M Q'!O8,"")</f>
        <v/>
      </c>
      <c r="D26" s="167" t="str">
        <f>IF(INFO!B8&gt;3,'M Q'!P8,"")</f>
        <v/>
      </c>
      <c r="E26" s="165" t="str">
        <f>IF(INFO!B8&gt;3,SUM(C26:D26),"")</f>
        <v/>
      </c>
      <c r="F26" s="154"/>
      <c r="G26" s="165" t="str">
        <f>IF(INFO!B8&gt;4,'M Q'!N9,"")</f>
        <v/>
      </c>
      <c r="H26" s="166" t="str">
        <f>IF(INFO!B8&gt;4,'M Q'!O9,"")</f>
        <v/>
      </c>
      <c r="I26" s="167" t="str">
        <f>IF(INFO!B8&gt;4,'M Q'!P9,"")</f>
        <v/>
      </c>
      <c r="J26" s="165" t="str">
        <f>IF(INFO!B8&gt;4,SUM(H26:I26),"")</f>
        <v/>
      </c>
      <c r="K26" s="154"/>
      <c r="L26" s="165" t="str">
        <f>IF(INFO!B8&gt;11,'M Q'!N16,"")</f>
        <v/>
      </c>
      <c r="M26" s="166" t="str">
        <f>IF(INFO!B8&gt;11,'M Q'!O16,"")</f>
        <v/>
      </c>
      <c r="N26" s="167" t="str">
        <f>IF(INFO!B8&gt;11,'M Q'!P16,"")</f>
        <v/>
      </c>
      <c r="O26" s="165" t="str">
        <f>IF(INFO!B8&gt;11,SUM(M26:N26),"")</f>
        <v/>
      </c>
      <c r="P26" s="155"/>
      <c r="Q26" s="165" t="str">
        <f>IF(INFO!B8&gt;12,'M Q'!N17,"")</f>
        <v/>
      </c>
      <c r="R26" s="166" t="str">
        <f>IF(INFO!B8&gt;12,'M Q'!O17,"")</f>
        <v/>
      </c>
      <c r="S26" s="167" t="str">
        <f>IF(INFO!B8&gt;12,'M Q'!P17,"")</f>
        <v/>
      </c>
      <c r="T26" s="165" t="str">
        <f>IF(INFO!B8&gt;12,SUM(R26:S26),"")</f>
        <v/>
      </c>
      <c r="U26" s="32"/>
    </row>
    <row r="27" spans="1:21" s="33" customFormat="1" ht="17.100000000000001" customHeight="1" x14ac:dyDescent="0.2"/>
  </sheetData>
  <sheetProtection password="CF6D" sheet="1" objects="1" scenarios="1" formatColumns="0" selectLockedCells="1"/>
  <mergeCells count="18">
    <mergeCell ref="H16:I16"/>
    <mergeCell ref="R16:S16"/>
    <mergeCell ref="B1:T1"/>
    <mergeCell ref="B2:T2"/>
    <mergeCell ref="C22:D22"/>
    <mergeCell ref="C16:D16"/>
    <mergeCell ref="C10:D10"/>
    <mergeCell ref="C4:D4"/>
    <mergeCell ref="M4:N4"/>
    <mergeCell ref="M10:N10"/>
    <mergeCell ref="M16:N16"/>
    <mergeCell ref="M22:N22"/>
    <mergeCell ref="H10:I10"/>
    <mergeCell ref="R10:S10"/>
    <mergeCell ref="H4:I4"/>
    <mergeCell ref="R4:S4"/>
    <mergeCell ref="H22:I22"/>
    <mergeCell ref="R22:S22"/>
  </mergeCells>
  <phoneticPr fontId="2"/>
  <conditionalFormatting sqref="B1:T26">
    <cfRule type="containsErrors" dxfId="35" priority="1">
      <formula>ISERROR(B1)</formula>
    </cfRule>
  </conditionalFormatting>
  <printOptions horizontalCentered="1" verticalCentered="1"/>
  <pageMargins left="0" right="0" top="0" bottom="0" header="0.19685039370078741" footer="0.19685039370078741"/>
  <pageSetup paperSize="9" scale="52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pageSetUpPr fitToPage="1"/>
  </sheetPr>
  <dimension ref="A1:V109"/>
  <sheetViews>
    <sheetView showGridLines="0" topLeftCell="E1" zoomScale="95" zoomScaleNormal="95" zoomScaleSheetLayoutView="75" zoomScalePageLayoutView="95" workbookViewId="0">
      <pane ySplit="2" topLeftCell="A94" activePane="bottomLeft" state="frozenSplit"/>
      <selection sqref="A1:C1"/>
      <selection pane="bottomLeft" activeCell="L103" sqref="L103"/>
    </sheetView>
  </sheetViews>
  <sheetFormatPr baseColWidth="10" defaultColWidth="8.125" defaultRowHeight="27.95" customHeight="1" outlineLevelRow="2" x14ac:dyDescent="0.2"/>
  <cols>
    <col min="1" max="1" width="8.125" style="25" customWidth="1"/>
    <col min="2" max="2" width="10.625" style="25" customWidth="1"/>
    <col min="3" max="4" width="8.125" style="25" customWidth="1"/>
    <col min="5" max="6" width="6.625" style="25" customWidth="1"/>
    <col min="7" max="8" width="8.125" style="25" customWidth="1"/>
    <col min="9" max="9" width="10.625" style="25" customWidth="1"/>
    <col min="10" max="11" width="8.125" style="25" customWidth="1"/>
    <col min="12" max="12" width="10.625" style="25" customWidth="1"/>
    <col min="13" max="14" width="8.125" style="25" customWidth="1"/>
    <col min="15" max="16" width="6.625" style="25" customWidth="1"/>
    <col min="17" max="18" width="8.125" style="25" customWidth="1"/>
    <col min="19" max="19" width="10.625" style="25" customWidth="1"/>
    <col min="20" max="16384" width="8.125" style="25"/>
  </cols>
  <sheetData>
    <row r="1" spans="1:22" ht="50.1" customHeight="1" x14ac:dyDescent="0.2">
      <c r="A1" s="222" t="str">
        <f>INFO!B7</f>
        <v>Pistolet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</row>
    <row r="2" spans="1:22" ht="60" customHeight="1" x14ac:dyDescent="0.2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</row>
    <row r="3" spans="1:22" ht="60" customHeight="1" outlineLevel="1" thickBot="1" x14ac:dyDescent="0.25">
      <c r="A3" s="222" t="s">
        <v>25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</row>
    <row r="4" spans="1:22" s="38" customFormat="1" ht="27.95" customHeight="1" outlineLevel="1" thickBot="1" x14ac:dyDescent="0.25">
      <c r="B4" s="240" t="str">
        <f>'Clb Q'!C4</f>
        <v>Amicale des Tireurs de Buc</v>
      </c>
      <c r="C4" s="241"/>
      <c r="D4" s="242"/>
      <c r="E4" s="249" t="s">
        <v>11</v>
      </c>
      <c r="F4" s="250"/>
      <c r="G4" s="240" t="str">
        <f>'Clb Q'!R4</f>
        <v/>
      </c>
      <c r="H4" s="241"/>
      <c r="I4" s="242"/>
      <c r="J4" s="40"/>
      <c r="K4" s="40"/>
      <c r="L4" s="240" t="str">
        <f>'Clb Q'!H22</f>
        <v/>
      </c>
      <c r="M4" s="241"/>
      <c r="N4" s="242"/>
      <c r="O4" s="249" t="s">
        <v>11</v>
      </c>
      <c r="P4" s="250"/>
      <c r="Q4" s="240" t="str">
        <f>'Clb Q'!M22</f>
        <v/>
      </c>
      <c r="R4" s="241"/>
      <c r="S4" s="242"/>
      <c r="U4" s="42"/>
    </row>
    <row r="5" spans="1:22" s="36" customFormat="1" ht="21.95" customHeight="1" outlineLevel="2" x14ac:dyDescent="0.2">
      <c r="B5" s="237" t="str">
        <f>'Clb Q'!B6</f>
        <v>ASFAUX Filip</v>
      </c>
      <c r="C5" s="238"/>
      <c r="D5" s="239"/>
      <c r="E5" s="128">
        <v>3</v>
      </c>
      <c r="F5" s="129">
        <v>4</v>
      </c>
      <c r="G5" s="237" t="str">
        <f>'Clb Q'!Q6</f>
        <v/>
      </c>
      <c r="H5" s="238"/>
      <c r="I5" s="239"/>
      <c r="J5" s="37"/>
      <c r="K5" s="37"/>
      <c r="L5" s="237" t="str">
        <f>'Clb Q'!G24</f>
        <v/>
      </c>
      <c r="M5" s="238"/>
      <c r="N5" s="239"/>
      <c r="O5" s="128">
        <v>13</v>
      </c>
      <c r="P5" s="129">
        <v>14</v>
      </c>
      <c r="Q5" s="237" t="str">
        <f>'Clb Q'!L24</f>
        <v/>
      </c>
      <c r="R5" s="238"/>
      <c r="S5" s="239"/>
      <c r="U5" s="43"/>
    </row>
    <row r="6" spans="1:22" s="36" customFormat="1" ht="21.95" customHeight="1" outlineLevel="2" x14ac:dyDescent="0.2">
      <c r="B6" s="237" t="str">
        <f>'Clb Q'!B7</f>
        <v>LEFEBVRE Mahaut</v>
      </c>
      <c r="C6" s="238"/>
      <c r="D6" s="239"/>
      <c r="E6" s="128">
        <v>5</v>
      </c>
      <c r="F6" s="129">
        <v>6</v>
      </c>
      <c r="G6" s="237" t="str">
        <f>'Clb Q'!Q7</f>
        <v/>
      </c>
      <c r="H6" s="238"/>
      <c r="I6" s="239"/>
      <c r="J6" s="37"/>
      <c r="K6" s="37"/>
      <c r="L6" s="237" t="str">
        <f>'Clb Q'!G25</f>
        <v/>
      </c>
      <c r="M6" s="238"/>
      <c r="N6" s="239"/>
      <c r="O6" s="128">
        <v>15</v>
      </c>
      <c r="P6" s="129">
        <v>16</v>
      </c>
      <c r="Q6" s="237" t="str">
        <f>'Clb Q'!L25</f>
        <v/>
      </c>
      <c r="R6" s="238"/>
      <c r="S6" s="239"/>
      <c r="U6" s="43"/>
    </row>
    <row r="7" spans="1:22" s="36" customFormat="1" ht="21.95" customHeight="1" outlineLevel="2" thickBot="1" x14ac:dyDescent="0.25">
      <c r="B7" s="237" t="str">
        <f>'Clb Q'!B8</f>
        <v>PINSON-COPIN Noa</v>
      </c>
      <c r="C7" s="238"/>
      <c r="D7" s="239"/>
      <c r="E7" s="128">
        <v>7</v>
      </c>
      <c r="F7" s="129">
        <v>8</v>
      </c>
      <c r="G7" s="237" t="str">
        <f>'Clb Q'!Q8</f>
        <v/>
      </c>
      <c r="H7" s="238"/>
      <c r="I7" s="239"/>
      <c r="J7" s="37"/>
      <c r="K7" s="37"/>
      <c r="L7" s="237" t="str">
        <f>'Clb Q'!G26</f>
        <v/>
      </c>
      <c r="M7" s="238"/>
      <c r="N7" s="239"/>
      <c r="O7" s="128">
        <v>17</v>
      </c>
      <c r="P7" s="129">
        <v>18</v>
      </c>
      <c r="Q7" s="237" t="str">
        <f>'Clb Q'!L26</f>
        <v/>
      </c>
      <c r="R7" s="238"/>
      <c r="S7" s="239"/>
      <c r="U7" s="43"/>
    </row>
    <row r="8" spans="1:22" ht="21.95" customHeight="1" outlineLevel="1" x14ac:dyDescent="0.2">
      <c r="A8" s="29" t="str">
        <f>IF(D8="","",IF(D8&gt;1,1,0))</f>
        <v/>
      </c>
      <c r="B8" s="226" t="str">
        <f>IF(D8="","",SUM(A8:A12))</f>
        <v/>
      </c>
      <c r="C8" s="235"/>
      <c r="D8" s="78"/>
      <c r="E8" s="270"/>
      <c r="F8" s="271"/>
      <c r="G8" s="78"/>
      <c r="H8" s="225" t="str">
        <f>IF(G8="","",SUM(J8:J12))</f>
        <v/>
      </c>
      <c r="I8" s="226"/>
      <c r="J8" s="41" t="str">
        <f>IF(G8="","",IF(G8&gt;1,1,0))</f>
        <v/>
      </c>
      <c r="K8" s="44" t="str">
        <f>IF(N8="","",IF(N8&gt;1,1,0))</f>
        <v/>
      </c>
      <c r="L8" s="226" t="str">
        <f>IF(N8="","",SUM(K8:K12))</f>
        <v/>
      </c>
      <c r="M8" s="235"/>
      <c r="N8" s="78"/>
      <c r="O8" s="257"/>
      <c r="P8" s="258"/>
      <c r="Q8" s="78"/>
      <c r="R8" s="225" t="str">
        <f>IF(Q8="","",SUM(T8:T12))</f>
        <v/>
      </c>
      <c r="S8" s="226"/>
      <c r="T8" s="41" t="str">
        <f>IF(Q8="","",IF(Q8&gt;1,1,0))</f>
        <v/>
      </c>
      <c r="U8" s="30"/>
      <c r="V8" s="29"/>
    </row>
    <row r="9" spans="1:22" ht="21.95" customHeight="1" outlineLevel="1" x14ac:dyDescent="0.2">
      <c r="A9" s="29" t="str">
        <f>IF(D9="","",IF(D9&gt;1,1,0))</f>
        <v/>
      </c>
      <c r="B9" s="228"/>
      <c r="C9" s="236"/>
      <c r="D9" s="79"/>
      <c r="E9" s="268"/>
      <c r="F9" s="269"/>
      <c r="G9" s="79"/>
      <c r="H9" s="227"/>
      <c r="I9" s="228"/>
      <c r="J9" s="41" t="str">
        <f>IF(G9="","",IF(G9&gt;1,1,0))</f>
        <v/>
      </c>
      <c r="K9" s="44" t="str">
        <f>IF(N9="","",IF(N9&gt;1,1,0))</f>
        <v/>
      </c>
      <c r="L9" s="228"/>
      <c r="M9" s="236"/>
      <c r="N9" s="79"/>
      <c r="O9" s="223"/>
      <c r="P9" s="224"/>
      <c r="Q9" s="79"/>
      <c r="R9" s="227"/>
      <c r="S9" s="228"/>
      <c r="T9" s="41" t="str">
        <f>IF(Q9="","",IF(Q9&gt;1,1,0))</f>
        <v/>
      </c>
      <c r="U9" s="30"/>
      <c r="V9" s="29"/>
    </row>
    <row r="10" spans="1:22" ht="21.95" customHeight="1" outlineLevel="1" x14ac:dyDescent="0.2">
      <c r="A10" s="29" t="str">
        <f>IF(D10="","",IF(D10&gt;1,1,0))</f>
        <v/>
      </c>
      <c r="B10" s="228"/>
      <c r="C10" s="236"/>
      <c r="D10" s="79"/>
      <c r="E10" s="268"/>
      <c r="F10" s="269"/>
      <c r="G10" s="79"/>
      <c r="H10" s="227"/>
      <c r="I10" s="228"/>
      <c r="J10" s="41" t="str">
        <f>IF(G10="","",IF(G10&gt;1,1,0))</f>
        <v/>
      </c>
      <c r="K10" s="44" t="str">
        <f>IF(N10="","",IF(N10&gt;1,1,0))</f>
        <v/>
      </c>
      <c r="L10" s="228"/>
      <c r="M10" s="236"/>
      <c r="N10" s="79"/>
      <c r="O10" s="223"/>
      <c r="P10" s="224"/>
      <c r="Q10" s="79"/>
      <c r="R10" s="227"/>
      <c r="S10" s="228"/>
      <c r="T10" s="41" t="str">
        <f>IF(Q10="","",IF(Q10&gt;1,1,0))</f>
        <v/>
      </c>
      <c r="U10" s="30"/>
      <c r="V10" s="29"/>
    </row>
    <row r="11" spans="1:22" ht="21.95" customHeight="1" outlineLevel="1" x14ac:dyDescent="0.2">
      <c r="A11" s="29" t="str">
        <f>IF(D11="","",IF(D11&gt;1,1,0))</f>
        <v/>
      </c>
      <c r="B11" s="228"/>
      <c r="C11" s="236"/>
      <c r="D11" s="79"/>
      <c r="E11" s="268"/>
      <c r="F11" s="269"/>
      <c r="G11" s="79"/>
      <c r="H11" s="227"/>
      <c r="I11" s="228"/>
      <c r="J11" s="41" t="str">
        <f>IF(G11="","",IF(G11&gt;1,1,0))</f>
        <v/>
      </c>
      <c r="K11" s="44" t="str">
        <f>IF(N11="","",IF(N11&gt;1,1,0))</f>
        <v/>
      </c>
      <c r="L11" s="228"/>
      <c r="M11" s="236"/>
      <c r="N11" s="79"/>
      <c r="O11" s="223"/>
      <c r="P11" s="224"/>
      <c r="Q11" s="79"/>
      <c r="R11" s="227"/>
      <c r="S11" s="228"/>
      <c r="T11" s="41" t="str">
        <f>IF(Q11="","",IF(Q11&gt;1,1,0))</f>
        <v/>
      </c>
      <c r="U11" s="30"/>
      <c r="V11" s="29"/>
    </row>
    <row r="12" spans="1:22" ht="21.95" customHeight="1" outlineLevel="1" thickBot="1" x14ac:dyDescent="0.25">
      <c r="A12" s="29" t="str">
        <f>IF(D12="","",IF(D12&gt;1,1,0))</f>
        <v/>
      </c>
      <c r="B12" s="228"/>
      <c r="C12" s="236"/>
      <c r="D12" s="80"/>
      <c r="E12" s="268"/>
      <c r="F12" s="269"/>
      <c r="G12" s="80"/>
      <c r="H12" s="227"/>
      <c r="I12" s="228"/>
      <c r="J12" s="41" t="str">
        <f>IF(G12="","",IF(G12&gt;1,1,0))</f>
        <v/>
      </c>
      <c r="K12" s="44" t="str">
        <f>IF(N12="","",IF(N12&gt;1,1,0))</f>
        <v/>
      </c>
      <c r="L12" s="228"/>
      <c r="M12" s="236"/>
      <c r="N12" s="80"/>
      <c r="O12" s="223"/>
      <c r="P12" s="224"/>
      <c r="Q12" s="80"/>
      <c r="R12" s="227"/>
      <c r="S12" s="228"/>
      <c r="T12" s="41" t="str">
        <f>IF(Q12="","",IF(Q12&gt;1,1,0))</f>
        <v/>
      </c>
      <c r="U12" s="30"/>
      <c r="V12" s="29"/>
    </row>
    <row r="13" spans="1:22" ht="15.95" customHeight="1" outlineLevel="1" thickBot="1" x14ac:dyDescent="0.25">
      <c r="J13" s="28"/>
      <c r="K13" s="28"/>
      <c r="U13" s="30"/>
    </row>
    <row r="14" spans="1:22" s="38" customFormat="1" ht="27.95" customHeight="1" outlineLevel="1" thickBot="1" x14ac:dyDescent="0.25">
      <c r="B14" s="240" t="str">
        <f>'Clb Q'!M4</f>
        <v/>
      </c>
      <c r="C14" s="241"/>
      <c r="D14" s="242"/>
      <c r="E14" s="249" t="s">
        <v>11</v>
      </c>
      <c r="F14" s="250"/>
      <c r="G14" s="240" t="str">
        <f>'Clb Q'!H4</f>
        <v/>
      </c>
      <c r="H14" s="241"/>
      <c r="I14" s="242"/>
      <c r="J14" s="40"/>
      <c r="K14" s="40"/>
      <c r="L14" s="240" t="str">
        <f>'Clb Q'!R22</f>
        <v/>
      </c>
      <c r="M14" s="241"/>
      <c r="N14" s="242"/>
      <c r="O14" s="249" t="s">
        <v>11</v>
      </c>
      <c r="P14" s="250"/>
      <c r="Q14" s="240" t="str">
        <f>'Clb Q'!C22</f>
        <v/>
      </c>
      <c r="R14" s="241"/>
      <c r="S14" s="242"/>
      <c r="U14" s="42"/>
    </row>
    <row r="15" spans="1:22" s="36" customFormat="1" ht="21.95" customHeight="1" outlineLevel="2" x14ac:dyDescent="0.2">
      <c r="B15" s="237" t="str">
        <f>'Clb Q'!L6</f>
        <v/>
      </c>
      <c r="C15" s="238"/>
      <c r="D15" s="239"/>
      <c r="E15" s="128">
        <v>3</v>
      </c>
      <c r="F15" s="129">
        <v>4</v>
      </c>
      <c r="G15" s="237" t="str">
        <f>'Clb Q'!G6</f>
        <v/>
      </c>
      <c r="H15" s="238"/>
      <c r="I15" s="239"/>
      <c r="J15" s="37"/>
      <c r="K15" s="37"/>
      <c r="L15" s="237" t="str">
        <f>'Clb Q'!Q24</f>
        <v/>
      </c>
      <c r="M15" s="238"/>
      <c r="N15" s="239"/>
      <c r="O15" s="128">
        <v>13</v>
      </c>
      <c r="P15" s="129">
        <v>14</v>
      </c>
      <c r="Q15" s="237" t="str">
        <f>'Clb Q'!B24</f>
        <v/>
      </c>
      <c r="R15" s="238"/>
      <c r="S15" s="239"/>
      <c r="U15" s="43"/>
    </row>
    <row r="16" spans="1:22" s="36" customFormat="1" ht="21.95" customHeight="1" outlineLevel="2" x14ac:dyDescent="0.2">
      <c r="B16" s="237" t="str">
        <f>'Clb Q'!L7</f>
        <v/>
      </c>
      <c r="C16" s="238"/>
      <c r="D16" s="239"/>
      <c r="E16" s="128">
        <v>5</v>
      </c>
      <c r="F16" s="129">
        <v>6</v>
      </c>
      <c r="G16" s="237" t="str">
        <f>'Clb Q'!G7</f>
        <v/>
      </c>
      <c r="H16" s="238"/>
      <c r="I16" s="239"/>
      <c r="J16" s="37"/>
      <c r="K16" s="37"/>
      <c r="L16" s="237" t="str">
        <f>'Clb Q'!Q25</f>
        <v/>
      </c>
      <c r="M16" s="238"/>
      <c r="N16" s="239"/>
      <c r="O16" s="128">
        <v>15</v>
      </c>
      <c r="P16" s="129">
        <v>16</v>
      </c>
      <c r="Q16" s="237" t="str">
        <f>'Clb Q'!B25</f>
        <v/>
      </c>
      <c r="R16" s="238"/>
      <c r="S16" s="239"/>
      <c r="U16" s="43"/>
    </row>
    <row r="17" spans="1:21" s="36" customFormat="1" ht="21.95" customHeight="1" outlineLevel="2" thickBot="1" x14ac:dyDescent="0.25">
      <c r="B17" s="237" t="str">
        <f>'Clb Q'!L8</f>
        <v/>
      </c>
      <c r="C17" s="238"/>
      <c r="D17" s="239"/>
      <c r="E17" s="128">
        <v>7</v>
      </c>
      <c r="F17" s="129">
        <v>8</v>
      </c>
      <c r="G17" s="237" t="str">
        <f>'Clb Q'!G8</f>
        <v/>
      </c>
      <c r="H17" s="238"/>
      <c r="I17" s="239"/>
      <c r="J17" s="37"/>
      <c r="K17" s="37"/>
      <c r="L17" s="237" t="str">
        <f>'Clb Q'!Q26</f>
        <v/>
      </c>
      <c r="M17" s="238"/>
      <c r="N17" s="239"/>
      <c r="O17" s="128">
        <v>17</v>
      </c>
      <c r="P17" s="129">
        <v>18</v>
      </c>
      <c r="Q17" s="237" t="str">
        <f>'Clb Q'!B26</f>
        <v/>
      </c>
      <c r="R17" s="238"/>
      <c r="S17" s="239"/>
      <c r="U17" s="43"/>
    </row>
    <row r="18" spans="1:21" ht="21.95" customHeight="1" outlineLevel="1" x14ac:dyDescent="0.2">
      <c r="A18" s="29" t="str">
        <f>IF(D18="","",IF(D18&gt;1,1,0))</f>
        <v/>
      </c>
      <c r="B18" s="226" t="str">
        <f>IF(D18="","",SUM(A18:A22))</f>
        <v/>
      </c>
      <c r="C18" s="235"/>
      <c r="D18" s="78"/>
      <c r="E18" s="257"/>
      <c r="F18" s="258"/>
      <c r="G18" s="78"/>
      <c r="H18" s="225" t="str">
        <f>IF(G18="","",SUM(J18:J22))</f>
        <v/>
      </c>
      <c r="I18" s="226"/>
      <c r="J18" s="41" t="str">
        <f>IF(G18="","",IF(G18&gt;1,1,0))</f>
        <v/>
      </c>
      <c r="K18" s="44" t="str">
        <f>IF(N18="","",IF(N18&gt;1,1,0))</f>
        <v/>
      </c>
      <c r="L18" s="226" t="str">
        <f>IF(N18="","",SUM(K18:K22))</f>
        <v/>
      </c>
      <c r="M18" s="235"/>
      <c r="N18" s="78"/>
      <c r="O18" s="257"/>
      <c r="P18" s="258"/>
      <c r="Q18" s="78"/>
      <c r="R18" s="225" t="str">
        <f>IF(Q18="","",SUM(T18:T22))</f>
        <v/>
      </c>
      <c r="S18" s="226"/>
      <c r="T18" s="41" t="str">
        <f>IF(Q18="","",IF(Q18&gt;1,1,0))</f>
        <v/>
      </c>
      <c r="U18" s="30"/>
    </row>
    <row r="19" spans="1:21" ht="21.95" customHeight="1" outlineLevel="1" x14ac:dyDescent="0.2">
      <c r="A19" s="29" t="str">
        <f>IF(D19="","",IF(D19&gt;1,1,0))</f>
        <v/>
      </c>
      <c r="B19" s="228"/>
      <c r="C19" s="236"/>
      <c r="D19" s="79"/>
      <c r="E19" s="223"/>
      <c r="F19" s="224"/>
      <c r="G19" s="79"/>
      <c r="H19" s="227"/>
      <c r="I19" s="228"/>
      <c r="J19" s="41" t="str">
        <f>IF(G19="","",IF(G19&gt;1,1,0))</f>
        <v/>
      </c>
      <c r="K19" s="44" t="str">
        <f>IF(N19="","",IF(N19&gt;1,1,0))</f>
        <v/>
      </c>
      <c r="L19" s="228"/>
      <c r="M19" s="236"/>
      <c r="N19" s="79"/>
      <c r="O19" s="223"/>
      <c r="P19" s="224"/>
      <c r="Q19" s="79"/>
      <c r="R19" s="227"/>
      <c r="S19" s="228"/>
      <c r="T19" s="41" t="str">
        <f>IF(Q19="","",IF(Q19&gt;1,1,0))</f>
        <v/>
      </c>
      <c r="U19" s="30"/>
    </row>
    <row r="20" spans="1:21" ht="21.95" customHeight="1" outlineLevel="1" x14ac:dyDescent="0.2">
      <c r="A20" s="29" t="str">
        <f>IF(D20="","",IF(D20&gt;1,1,0))</f>
        <v/>
      </c>
      <c r="B20" s="228"/>
      <c r="C20" s="236"/>
      <c r="D20" s="79"/>
      <c r="E20" s="223"/>
      <c r="F20" s="224"/>
      <c r="G20" s="79"/>
      <c r="H20" s="227"/>
      <c r="I20" s="228"/>
      <c r="J20" s="41" t="str">
        <f>IF(G20="","",IF(G20&gt;1,1,0))</f>
        <v/>
      </c>
      <c r="K20" s="44" t="str">
        <f>IF(N20="","",IF(N20&gt;1,1,0))</f>
        <v/>
      </c>
      <c r="L20" s="228"/>
      <c r="M20" s="236"/>
      <c r="N20" s="79"/>
      <c r="O20" s="223"/>
      <c r="P20" s="224"/>
      <c r="Q20" s="79"/>
      <c r="R20" s="227"/>
      <c r="S20" s="228"/>
      <c r="T20" s="41" t="str">
        <f>IF(Q20="","",IF(Q20&gt;1,1,0))</f>
        <v/>
      </c>
      <c r="U20" s="30"/>
    </row>
    <row r="21" spans="1:21" ht="21.95" customHeight="1" outlineLevel="1" x14ac:dyDescent="0.2">
      <c r="A21" s="29" t="str">
        <f>IF(D21="","",IF(D21&gt;1,1,0))</f>
        <v/>
      </c>
      <c r="B21" s="228"/>
      <c r="C21" s="236"/>
      <c r="D21" s="79"/>
      <c r="E21" s="223"/>
      <c r="F21" s="224"/>
      <c r="G21" s="79"/>
      <c r="H21" s="227"/>
      <c r="I21" s="228"/>
      <c r="J21" s="41" t="str">
        <f>IF(G21="","",IF(G21&gt;1,1,0))</f>
        <v/>
      </c>
      <c r="K21" s="44" t="str">
        <f>IF(N21="","",IF(N21&gt;1,1,0))</f>
        <v/>
      </c>
      <c r="L21" s="228"/>
      <c r="M21" s="236"/>
      <c r="N21" s="79"/>
      <c r="O21" s="223"/>
      <c r="P21" s="224"/>
      <c r="Q21" s="79"/>
      <c r="R21" s="227"/>
      <c r="S21" s="228"/>
      <c r="T21" s="41" t="str">
        <f>IF(Q21="","",IF(Q21&gt;1,1,0))</f>
        <v/>
      </c>
      <c r="U21" s="30"/>
    </row>
    <row r="22" spans="1:21" ht="21.95" customHeight="1" outlineLevel="1" thickBot="1" x14ac:dyDescent="0.25">
      <c r="A22" s="29" t="str">
        <f>IF(D22="","",IF(D22&gt;1,1,0))</f>
        <v/>
      </c>
      <c r="B22" s="228"/>
      <c r="C22" s="236"/>
      <c r="D22" s="80"/>
      <c r="E22" s="223"/>
      <c r="F22" s="224"/>
      <c r="G22" s="80"/>
      <c r="H22" s="227"/>
      <c r="I22" s="228"/>
      <c r="J22" s="41" t="str">
        <f>IF(G22="","",IF(G22&gt;1,1,0))</f>
        <v/>
      </c>
      <c r="K22" s="44" t="str">
        <f>IF(N22="","",IF(N22&gt;1,1,0))</f>
        <v/>
      </c>
      <c r="L22" s="228"/>
      <c r="M22" s="236"/>
      <c r="N22" s="80"/>
      <c r="O22" s="223"/>
      <c r="P22" s="224"/>
      <c r="Q22" s="80"/>
      <c r="R22" s="227"/>
      <c r="S22" s="228"/>
      <c r="T22" s="41" t="str">
        <f>IF(Q22="","",IF(Q22&gt;1,1,0))</f>
        <v/>
      </c>
      <c r="U22" s="30"/>
    </row>
    <row r="23" spans="1:21" ht="300" hidden="1" customHeight="1" outlineLevel="2" x14ac:dyDescent="0.2">
      <c r="B23" s="30"/>
      <c r="C23" s="30"/>
      <c r="D23" s="30"/>
      <c r="E23" s="30"/>
      <c r="F23" s="30"/>
      <c r="G23" s="30"/>
      <c r="H23" s="30"/>
      <c r="I23" s="30"/>
      <c r="J23" s="28"/>
      <c r="K23" s="28"/>
      <c r="L23" s="30"/>
      <c r="M23" s="30"/>
      <c r="N23" s="30"/>
      <c r="O23" s="30"/>
      <c r="P23" s="30"/>
      <c r="Q23" s="30"/>
      <c r="R23" s="30"/>
      <c r="S23" s="30"/>
      <c r="U23" s="30"/>
    </row>
    <row r="24" spans="1:21" ht="60" customHeight="1" outlineLevel="1" collapsed="1" thickBot="1" x14ac:dyDescent="0.25">
      <c r="A24" s="222" t="s">
        <v>45</v>
      </c>
      <c r="B24" s="222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30"/>
    </row>
    <row r="25" spans="1:21" s="38" customFormat="1" ht="27.95" customHeight="1" outlineLevel="1" thickBot="1" x14ac:dyDescent="0.25">
      <c r="B25" s="240" t="str">
        <f>'Clb Q'!C16</f>
        <v/>
      </c>
      <c r="C25" s="241"/>
      <c r="D25" s="242"/>
      <c r="E25" s="249" t="s">
        <v>11</v>
      </c>
      <c r="F25" s="250"/>
      <c r="G25" s="240" t="str">
        <f>'Clb Q'!R16</f>
        <v/>
      </c>
      <c r="H25" s="241"/>
      <c r="I25" s="242"/>
      <c r="J25" s="40"/>
      <c r="K25" s="40"/>
      <c r="L25" s="240" t="str">
        <f>'Clb Q'!H10</f>
        <v/>
      </c>
      <c r="M25" s="241"/>
      <c r="N25" s="242"/>
      <c r="O25" s="249" t="s">
        <v>11</v>
      </c>
      <c r="P25" s="250"/>
      <c r="Q25" s="240" t="str">
        <f>'Clb Q'!M10</f>
        <v/>
      </c>
      <c r="R25" s="241"/>
      <c r="S25" s="242"/>
      <c r="U25" s="42"/>
    </row>
    <row r="26" spans="1:21" s="36" customFormat="1" ht="21.95" customHeight="1" outlineLevel="2" x14ac:dyDescent="0.2">
      <c r="B26" s="237" t="str">
        <f>'Clb Q'!B18</f>
        <v/>
      </c>
      <c r="C26" s="238"/>
      <c r="D26" s="239"/>
      <c r="E26" s="128">
        <v>3</v>
      </c>
      <c r="F26" s="129">
        <v>4</v>
      </c>
      <c r="G26" s="262" t="str">
        <f>'Clb Q'!Q18</f>
        <v/>
      </c>
      <c r="H26" s="263"/>
      <c r="I26" s="264"/>
      <c r="J26" s="37"/>
      <c r="K26" s="37"/>
      <c r="L26" s="237" t="str">
        <f>'Clb Q'!G12</f>
        <v/>
      </c>
      <c r="M26" s="238"/>
      <c r="N26" s="239"/>
      <c r="O26" s="128">
        <v>13</v>
      </c>
      <c r="P26" s="129">
        <v>14</v>
      </c>
      <c r="Q26" s="237" t="str">
        <f>'Clb Q'!L12</f>
        <v/>
      </c>
      <c r="R26" s="238"/>
      <c r="S26" s="239"/>
      <c r="U26" s="43"/>
    </row>
    <row r="27" spans="1:21" s="36" customFormat="1" ht="21.95" customHeight="1" outlineLevel="2" x14ac:dyDescent="0.2">
      <c r="B27" s="237" t="str">
        <f>'Clb Q'!B19</f>
        <v/>
      </c>
      <c r="C27" s="238"/>
      <c r="D27" s="239"/>
      <c r="E27" s="128">
        <v>5</v>
      </c>
      <c r="F27" s="129">
        <v>6</v>
      </c>
      <c r="G27" s="237" t="str">
        <f>'Clb Q'!Q19</f>
        <v/>
      </c>
      <c r="H27" s="238"/>
      <c r="I27" s="239"/>
      <c r="J27" s="37"/>
      <c r="K27" s="37"/>
      <c r="L27" s="237" t="str">
        <f>'Clb Q'!G13</f>
        <v/>
      </c>
      <c r="M27" s="238"/>
      <c r="N27" s="239"/>
      <c r="O27" s="128">
        <v>15</v>
      </c>
      <c r="P27" s="129">
        <v>16</v>
      </c>
      <c r="Q27" s="237" t="str">
        <f>'Clb Q'!L13</f>
        <v/>
      </c>
      <c r="R27" s="238"/>
      <c r="S27" s="239"/>
      <c r="U27" s="43"/>
    </row>
    <row r="28" spans="1:21" s="36" customFormat="1" ht="21.95" customHeight="1" outlineLevel="2" thickBot="1" x14ac:dyDescent="0.25">
      <c r="B28" s="237" t="str">
        <f>'Clb Q'!B20</f>
        <v/>
      </c>
      <c r="C28" s="238"/>
      <c r="D28" s="239"/>
      <c r="E28" s="128">
        <v>7</v>
      </c>
      <c r="F28" s="129">
        <v>8</v>
      </c>
      <c r="G28" s="272" t="str">
        <f>'Clb Q'!Q20</f>
        <v/>
      </c>
      <c r="H28" s="273"/>
      <c r="I28" s="274"/>
      <c r="J28" s="37"/>
      <c r="K28" s="37"/>
      <c r="L28" s="237" t="str">
        <f>'Clb Q'!G14</f>
        <v/>
      </c>
      <c r="M28" s="238"/>
      <c r="N28" s="239"/>
      <c r="O28" s="128">
        <v>17</v>
      </c>
      <c r="P28" s="129">
        <v>18</v>
      </c>
      <c r="Q28" s="237" t="str">
        <f>'Clb Q'!L14</f>
        <v/>
      </c>
      <c r="R28" s="238"/>
      <c r="S28" s="239"/>
      <c r="U28" s="43"/>
    </row>
    <row r="29" spans="1:21" ht="21.95" customHeight="1" outlineLevel="1" x14ac:dyDescent="0.2">
      <c r="A29" s="29" t="str">
        <f>IF(D29="","",IF(D29&gt;1,1,0))</f>
        <v/>
      </c>
      <c r="B29" s="226" t="str">
        <f>IF(D29="","",SUM(A29:A33))</f>
        <v/>
      </c>
      <c r="C29" s="235"/>
      <c r="D29" s="78"/>
      <c r="E29" s="257"/>
      <c r="F29" s="258"/>
      <c r="G29" s="78"/>
      <c r="H29" s="225" t="str">
        <f>IF(G29="","",SUM(J29:J33))</f>
        <v/>
      </c>
      <c r="I29" s="226"/>
      <c r="J29" s="41" t="str">
        <f>IF(G29="","",IF(G29&gt;1,1,0))</f>
        <v/>
      </c>
      <c r="K29" s="44" t="str">
        <f>IF(N29="","",IF(N29&gt;1,1,0))</f>
        <v/>
      </c>
      <c r="L29" s="226" t="str">
        <f>IF(N29="","",SUM(K29:K33))</f>
        <v/>
      </c>
      <c r="M29" s="235"/>
      <c r="N29" s="78"/>
      <c r="O29" s="257"/>
      <c r="P29" s="258"/>
      <c r="Q29" s="78"/>
      <c r="R29" s="225" t="str">
        <f>IF(Q29="","",SUM(T29:T33))</f>
        <v/>
      </c>
      <c r="S29" s="226"/>
      <c r="T29" s="41" t="str">
        <f>IF(Q29="","",IF(Q29&gt;1,1,0))</f>
        <v/>
      </c>
      <c r="U29" s="30"/>
    </row>
    <row r="30" spans="1:21" ht="21.95" customHeight="1" outlineLevel="1" x14ac:dyDescent="0.2">
      <c r="A30" s="29" t="str">
        <f>IF(D30="","",IF(D30&gt;1,1,0))</f>
        <v/>
      </c>
      <c r="B30" s="228"/>
      <c r="C30" s="236"/>
      <c r="D30" s="79"/>
      <c r="E30" s="223"/>
      <c r="F30" s="224"/>
      <c r="G30" s="79"/>
      <c r="H30" s="227"/>
      <c r="I30" s="228"/>
      <c r="J30" s="41" t="str">
        <f>IF(G30="","",IF(G30&gt;1,1,0))</f>
        <v/>
      </c>
      <c r="K30" s="44" t="str">
        <f>IF(N30="","",IF(N30&gt;1,1,0))</f>
        <v/>
      </c>
      <c r="L30" s="228"/>
      <c r="M30" s="236"/>
      <c r="N30" s="79"/>
      <c r="O30" s="223"/>
      <c r="P30" s="224"/>
      <c r="Q30" s="79"/>
      <c r="R30" s="227"/>
      <c r="S30" s="228"/>
      <c r="T30" s="41" t="str">
        <f>IF(Q30="","",IF(Q30&gt;1,1,0))</f>
        <v/>
      </c>
      <c r="U30" s="30"/>
    </row>
    <row r="31" spans="1:21" ht="21.95" customHeight="1" outlineLevel="1" x14ac:dyDescent="0.2">
      <c r="A31" s="29" t="str">
        <f>IF(D31="","",IF(D31&gt;1,1,0))</f>
        <v/>
      </c>
      <c r="B31" s="228"/>
      <c r="C31" s="236"/>
      <c r="D31" s="79"/>
      <c r="E31" s="223"/>
      <c r="F31" s="224"/>
      <c r="G31" s="79"/>
      <c r="H31" s="227"/>
      <c r="I31" s="228"/>
      <c r="J31" s="41" t="str">
        <f>IF(G31="","",IF(G31&gt;1,1,0))</f>
        <v/>
      </c>
      <c r="K31" s="44" t="str">
        <f>IF(N31="","",IF(N31&gt;1,1,0))</f>
        <v/>
      </c>
      <c r="L31" s="228"/>
      <c r="M31" s="236"/>
      <c r="N31" s="79"/>
      <c r="O31" s="223"/>
      <c r="P31" s="224"/>
      <c r="Q31" s="79"/>
      <c r="R31" s="227"/>
      <c r="S31" s="228"/>
      <c r="T31" s="41" t="str">
        <f>IF(Q31="","",IF(Q31&gt;1,1,0))</f>
        <v/>
      </c>
      <c r="U31" s="30"/>
    </row>
    <row r="32" spans="1:21" ht="21.95" customHeight="1" outlineLevel="1" x14ac:dyDescent="0.2">
      <c r="A32" s="29" t="str">
        <f>IF(D32="","",IF(D32&gt;1,1,0))</f>
        <v/>
      </c>
      <c r="B32" s="228"/>
      <c r="C32" s="236"/>
      <c r="D32" s="79"/>
      <c r="E32" s="223"/>
      <c r="F32" s="224"/>
      <c r="G32" s="79"/>
      <c r="H32" s="227"/>
      <c r="I32" s="228"/>
      <c r="J32" s="41" t="str">
        <f>IF(G32="","",IF(G32&gt;1,1,0))</f>
        <v/>
      </c>
      <c r="K32" s="44" t="str">
        <f>IF(N32="","",IF(N32&gt;1,1,0))</f>
        <v/>
      </c>
      <c r="L32" s="228"/>
      <c r="M32" s="236"/>
      <c r="N32" s="79"/>
      <c r="O32" s="223"/>
      <c r="P32" s="224"/>
      <c r="Q32" s="79"/>
      <c r="R32" s="227"/>
      <c r="S32" s="228"/>
      <c r="T32" s="41" t="str">
        <f>IF(Q32="","",IF(Q32&gt;1,1,0))</f>
        <v/>
      </c>
      <c r="U32" s="30"/>
    </row>
    <row r="33" spans="1:21" ht="21.95" customHeight="1" outlineLevel="1" thickBot="1" x14ac:dyDescent="0.25">
      <c r="A33" s="29" t="str">
        <f>IF(D33="","",IF(D33&gt;1,1,0))</f>
        <v/>
      </c>
      <c r="B33" s="228"/>
      <c r="C33" s="236"/>
      <c r="D33" s="80"/>
      <c r="E33" s="223"/>
      <c r="F33" s="224"/>
      <c r="G33" s="80"/>
      <c r="H33" s="227"/>
      <c r="I33" s="228"/>
      <c r="J33" s="41" t="str">
        <f>IF(G33="","",IF(G33&gt;1,1,0))</f>
        <v/>
      </c>
      <c r="K33" s="44" t="str">
        <f>IF(N33="","",IF(N33&gt;1,1,0))</f>
        <v/>
      </c>
      <c r="L33" s="228"/>
      <c r="M33" s="236"/>
      <c r="N33" s="80"/>
      <c r="O33" s="223"/>
      <c r="P33" s="224"/>
      <c r="Q33" s="80"/>
      <c r="R33" s="227"/>
      <c r="S33" s="228"/>
      <c r="T33" s="41" t="str">
        <f>IF(Q33="","",IF(Q33&gt;1,1,0))</f>
        <v/>
      </c>
      <c r="U33" s="30"/>
    </row>
    <row r="34" spans="1:21" ht="15" customHeight="1" outlineLevel="1" x14ac:dyDescent="0.2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U34" s="30"/>
    </row>
    <row r="35" spans="1:21" ht="15" customHeight="1" outlineLevel="1" thickBot="1" x14ac:dyDescent="0.25">
      <c r="J35" s="30"/>
      <c r="K35" s="30"/>
      <c r="U35" s="30"/>
    </row>
    <row r="36" spans="1:21" s="38" customFormat="1" ht="27.95" customHeight="1" outlineLevel="1" thickBot="1" x14ac:dyDescent="0.25">
      <c r="B36" s="240" t="str">
        <f>'Clb Q'!M16</f>
        <v/>
      </c>
      <c r="C36" s="241"/>
      <c r="D36" s="242"/>
      <c r="E36" s="249" t="s">
        <v>11</v>
      </c>
      <c r="F36" s="250"/>
      <c r="G36" s="240" t="str">
        <f>'Clb Q'!H16</f>
        <v/>
      </c>
      <c r="H36" s="241"/>
      <c r="I36" s="242"/>
      <c r="J36" s="40"/>
      <c r="K36" s="40"/>
      <c r="L36" s="240" t="str">
        <f>'Clb Q'!R10</f>
        <v/>
      </c>
      <c r="M36" s="241"/>
      <c r="N36" s="242"/>
      <c r="O36" s="249" t="s">
        <v>11</v>
      </c>
      <c r="P36" s="250"/>
      <c r="Q36" s="240" t="str">
        <f>'Clb Q'!C10</f>
        <v>Tir National de Versailles</v>
      </c>
      <c r="R36" s="241"/>
      <c r="S36" s="242"/>
      <c r="U36" s="42"/>
    </row>
    <row r="37" spans="1:21" s="36" customFormat="1" ht="21.95" customHeight="1" outlineLevel="2" x14ac:dyDescent="0.2">
      <c r="B37" s="237" t="str">
        <f>'Clb Q'!L18</f>
        <v/>
      </c>
      <c r="C37" s="238"/>
      <c r="D37" s="239"/>
      <c r="E37" s="128">
        <v>3</v>
      </c>
      <c r="F37" s="129">
        <v>4</v>
      </c>
      <c r="G37" s="237" t="str">
        <f>'Clb Q'!G18</f>
        <v/>
      </c>
      <c r="H37" s="238"/>
      <c r="I37" s="239"/>
      <c r="J37" s="37"/>
      <c r="K37" s="37"/>
      <c r="L37" s="262" t="str">
        <f>'Clb Q'!Q12</f>
        <v/>
      </c>
      <c r="M37" s="263"/>
      <c r="N37" s="264"/>
      <c r="O37" s="128">
        <v>13</v>
      </c>
      <c r="P37" s="129">
        <v>14</v>
      </c>
      <c r="Q37" s="237" t="str">
        <f>'Clb Q'!B12</f>
        <v>ECHEGU Eloïs</v>
      </c>
      <c r="R37" s="238"/>
      <c r="S37" s="239"/>
      <c r="U37" s="43"/>
    </row>
    <row r="38" spans="1:21" s="36" customFormat="1" ht="21.95" customHeight="1" outlineLevel="2" x14ac:dyDescent="0.2">
      <c r="B38" s="237" t="str">
        <f>'Clb Q'!L19</f>
        <v/>
      </c>
      <c r="C38" s="238"/>
      <c r="D38" s="239"/>
      <c r="E38" s="128">
        <v>5</v>
      </c>
      <c r="F38" s="129">
        <v>6</v>
      </c>
      <c r="G38" s="237" t="str">
        <f>'Clb Q'!G19</f>
        <v/>
      </c>
      <c r="H38" s="238"/>
      <c r="I38" s="239"/>
      <c r="J38" s="37"/>
      <c r="K38" s="37"/>
      <c r="L38" s="237" t="str">
        <f>'Clb Q'!Q13</f>
        <v/>
      </c>
      <c r="M38" s="238"/>
      <c r="N38" s="239"/>
      <c r="O38" s="128">
        <v>15</v>
      </c>
      <c r="P38" s="129">
        <v>16</v>
      </c>
      <c r="Q38" s="237" t="str">
        <f>'Clb Q'!B13</f>
        <v>LAMBERT Dorian</v>
      </c>
      <c r="R38" s="238"/>
      <c r="S38" s="239"/>
      <c r="U38" s="43"/>
    </row>
    <row r="39" spans="1:21" s="36" customFormat="1" ht="21.95" customHeight="1" outlineLevel="2" thickBot="1" x14ac:dyDescent="0.25">
      <c r="B39" s="237" t="str">
        <f>'Clb Q'!L20</f>
        <v/>
      </c>
      <c r="C39" s="238"/>
      <c r="D39" s="239"/>
      <c r="E39" s="128">
        <v>7</v>
      </c>
      <c r="F39" s="129">
        <v>8</v>
      </c>
      <c r="G39" s="237" t="str">
        <f>'Clb Q'!G20</f>
        <v/>
      </c>
      <c r="H39" s="238"/>
      <c r="I39" s="239"/>
      <c r="J39" s="37"/>
      <c r="K39" s="37"/>
      <c r="L39" s="272" t="str">
        <f>'Clb Q'!Q14</f>
        <v/>
      </c>
      <c r="M39" s="273"/>
      <c r="N39" s="274"/>
      <c r="O39" s="128">
        <v>17</v>
      </c>
      <c r="P39" s="129">
        <v>18</v>
      </c>
      <c r="Q39" s="237" t="str">
        <f>'Clb Q'!B14</f>
        <v>BOUGEARD Amandine</v>
      </c>
      <c r="R39" s="238"/>
      <c r="S39" s="239"/>
      <c r="U39" s="43"/>
    </row>
    <row r="40" spans="1:21" ht="21.95" customHeight="1" outlineLevel="1" x14ac:dyDescent="0.2">
      <c r="A40" s="29" t="str">
        <f>IF(D40="","",IF(D40&gt;1,1,0))</f>
        <v/>
      </c>
      <c r="B40" s="226" t="str">
        <f>IF(D40="","",SUM(A40:A44))</f>
        <v/>
      </c>
      <c r="C40" s="235"/>
      <c r="D40" s="78"/>
      <c r="E40" s="257"/>
      <c r="F40" s="258"/>
      <c r="G40" s="78"/>
      <c r="H40" s="225" t="str">
        <f>IF(G40="","",SUM(J40:J44))</f>
        <v/>
      </c>
      <c r="I40" s="226"/>
      <c r="J40" s="41" t="str">
        <f>IF(G40="","",IF(G40&gt;1,1,0))</f>
        <v/>
      </c>
      <c r="K40" s="44" t="str">
        <f>IF(N40="","",IF(N40&gt;1,1,0))</f>
        <v/>
      </c>
      <c r="L40" s="226" t="str">
        <f>IF(N40="","",SUM(K40:K44))</f>
        <v/>
      </c>
      <c r="M40" s="235"/>
      <c r="N40" s="78"/>
      <c r="O40" s="257"/>
      <c r="P40" s="258"/>
      <c r="Q40" s="78"/>
      <c r="R40" s="225" t="str">
        <f>IF(Q40="","",SUM(T40:T44))</f>
        <v/>
      </c>
      <c r="S40" s="226"/>
      <c r="T40" s="41" t="str">
        <f>IF(Q40="","",IF(Q40&gt;1,1,0))</f>
        <v/>
      </c>
      <c r="U40" s="30"/>
    </row>
    <row r="41" spans="1:21" ht="21.95" customHeight="1" outlineLevel="1" x14ac:dyDescent="0.2">
      <c r="A41" s="29" t="str">
        <f>IF(D41="","",IF(D41&gt;1,1,0))</f>
        <v/>
      </c>
      <c r="B41" s="228"/>
      <c r="C41" s="236"/>
      <c r="D41" s="79"/>
      <c r="E41" s="223"/>
      <c r="F41" s="224"/>
      <c r="G41" s="79"/>
      <c r="H41" s="227"/>
      <c r="I41" s="228"/>
      <c r="J41" s="41" t="str">
        <f>IF(G41="","",IF(G41&gt;1,1,0))</f>
        <v/>
      </c>
      <c r="K41" s="44" t="str">
        <f>IF(N41="","",IF(N41&gt;1,1,0))</f>
        <v/>
      </c>
      <c r="L41" s="228"/>
      <c r="M41" s="236"/>
      <c r="N41" s="79"/>
      <c r="O41" s="223"/>
      <c r="P41" s="224"/>
      <c r="Q41" s="79"/>
      <c r="R41" s="227"/>
      <c r="S41" s="228"/>
      <c r="T41" s="41" t="str">
        <f>IF(Q41="","",IF(Q41&gt;1,1,0))</f>
        <v/>
      </c>
      <c r="U41" s="30"/>
    </row>
    <row r="42" spans="1:21" ht="21.95" customHeight="1" outlineLevel="1" x14ac:dyDescent="0.2">
      <c r="A42" s="29" t="str">
        <f>IF(D42="","",IF(D42&gt;1,1,0))</f>
        <v/>
      </c>
      <c r="B42" s="228"/>
      <c r="C42" s="236"/>
      <c r="D42" s="79"/>
      <c r="E42" s="223"/>
      <c r="F42" s="224"/>
      <c r="G42" s="79"/>
      <c r="H42" s="227"/>
      <c r="I42" s="228"/>
      <c r="J42" s="41" t="str">
        <f>IF(G42="","",IF(G42&gt;1,1,0))</f>
        <v/>
      </c>
      <c r="K42" s="44" t="str">
        <f>IF(N42="","",IF(N42&gt;1,1,0))</f>
        <v/>
      </c>
      <c r="L42" s="228"/>
      <c r="M42" s="236"/>
      <c r="N42" s="79"/>
      <c r="O42" s="223"/>
      <c r="P42" s="224"/>
      <c r="Q42" s="79"/>
      <c r="R42" s="227"/>
      <c r="S42" s="228"/>
      <c r="T42" s="41" t="str">
        <f>IF(Q42="","",IF(Q42&gt;1,1,0))</f>
        <v/>
      </c>
      <c r="U42" s="30"/>
    </row>
    <row r="43" spans="1:21" ht="21.95" customHeight="1" outlineLevel="1" x14ac:dyDescent="0.2">
      <c r="A43" s="29" t="str">
        <f>IF(D43="","",IF(D43&gt;1,1,0))</f>
        <v/>
      </c>
      <c r="B43" s="228"/>
      <c r="C43" s="236"/>
      <c r="D43" s="79"/>
      <c r="E43" s="223"/>
      <c r="F43" s="224"/>
      <c r="G43" s="79"/>
      <c r="H43" s="227"/>
      <c r="I43" s="228"/>
      <c r="J43" s="41" t="str">
        <f>IF(G43="","",IF(G43&gt;1,1,0))</f>
        <v/>
      </c>
      <c r="K43" s="44" t="str">
        <f>IF(N43="","",IF(N43&gt;1,1,0))</f>
        <v/>
      </c>
      <c r="L43" s="228"/>
      <c r="M43" s="236"/>
      <c r="N43" s="79"/>
      <c r="O43" s="223"/>
      <c r="P43" s="224"/>
      <c r="Q43" s="79"/>
      <c r="R43" s="227"/>
      <c r="S43" s="228"/>
      <c r="T43" s="41" t="str">
        <f>IF(Q43="","",IF(Q43&gt;1,1,0))</f>
        <v/>
      </c>
      <c r="U43" s="30"/>
    </row>
    <row r="44" spans="1:21" ht="21.95" customHeight="1" outlineLevel="1" thickBot="1" x14ac:dyDescent="0.25">
      <c r="A44" s="29" t="str">
        <f>IF(D44="","",IF(D44&gt;1,1,0))</f>
        <v/>
      </c>
      <c r="B44" s="228"/>
      <c r="C44" s="236"/>
      <c r="D44" s="80"/>
      <c r="E44" s="223"/>
      <c r="F44" s="224"/>
      <c r="G44" s="80"/>
      <c r="H44" s="227"/>
      <c r="I44" s="228"/>
      <c r="J44" s="41" t="str">
        <f>IF(G44="","",IF(G44&gt;1,1,0))</f>
        <v/>
      </c>
      <c r="K44" s="44" t="str">
        <f>IF(N44="","",IF(N44&gt;1,1,0))</f>
        <v/>
      </c>
      <c r="L44" s="228"/>
      <c r="M44" s="236"/>
      <c r="N44" s="80"/>
      <c r="O44" s="223"/>
      <c r="P44" s="224"/>
      <c r="Q44" s="80"/>
      <c r="R44" s="227"/>
      <c r="S44" s="228"/>
      <c r="T44" s="41" t="str">
        <f>IF(Q44="","",IF(Q44&gt;1,1,0))</f>
        <v/>
      </c>
      <c r="U44" s="30"/>
    </row>
    <row r="45" spans="1:21" ht="60" customHeight="1" thickBot="1" x14ac:dyDescent="0.25">
      <c r="A45" s="222" t="s">
        <v>12</v>
      </c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</row>
    <row r="46" spans="1:21" s="38" customFormat="1" ht="27.95" customHeight="1" thickBot="1" x14ac:dyDescent="0.25">
      <c r="B46" s="265" t="str">
        <f>IF(G4="",B4,IF(B8="","",IF(B8&gt;2,B4,IF(H8&gt;2,G4,""))))</f>
        <v>Amicale des Tireurs de Buc</v>
      </c>
      <c r="C46" s="266"/>
      <c r="D46" s="267"/>
      <c r="E46" s="249" t="s">
        <v>11</v>
      </c>
      <c r="F46" s="250"/>
      <c r="G46" s="265" t="str">
        <f>IF(B14="",G14,IF(B18="","",IF(B18&gt;2,B14,IF(H18&gt;2,G14,""))))</f>
        <v/>
      </c>
      <c r="H46" s="266"/>
      <c r="I46" s="267"/>
      <c r="J46" s="40"/>
      <c r="K46" s="40"/>
      <c r="L46" s="265" t="str">
        <f>IF(G25="",B25,IF(B29="","",IF(B29&gt;2,B25,IF(H29&gt;2,G25,""))))</f>
        <v/>
      </c>
      <c r="M46" s="266"/>
      <c r="N46" s="267"/>
      <c r="O46" s="249" t="s">
        <v>11</v>
      </c>
      <c r="P46" s="250"/>
      <c r="Q46" s="265" t="str">
        <f>IF(B36="",G36,IF(B40="","",IF(B40&gt;2,B36,IF(H40&gt;2,G36,""))))</f>
        <v/>
      </c>
      <c r="R46" s="266"/>
      <c r="S46" s="267"/>
    </row>
    <row r="47" spans="1:21" s="36" customFormat="1" ht="21.95" customHeight="1" outlineLevel="1" x14ac:dyDescent="0.2">
      <c r="B47" s="232" t="str">
        <f>IF(G4="",B5,IF(B8="","",IF(B8&gt;2,B5,IF(H8&gt;2,G5,""))))</f>
        <v>ASFAUX Filip</v>
      </c>
      <c r="C47" s="233"/>
      <c r="D47" s="234"/>
      <c r="E47" s="126">
        <v>3</v>
      </c>
      <c r="F47" s="127">
        <v>4</v>
      </c>
      <c r="G47" s="232" t="str">
        <f>IF(B14="",G15,IF(B18="","",IF(B18&gt;2,B15,IF(H18&gt;2,G15,""))))</f>
        <v/>
      </c>
      <c r="H47" s="233"/>
      <c r="I47" s="234"/>
      <c r="J47" s="37"/>
      <c r="K47" s="37"/>
      <c r="L47" s="232" t="str">
        <f>IF(G25="",B26,IF(B29="","",IF(B29&gt;2,B26,IF(H29&gt;2,G26,""))))</f>
        <v/>
      </c>
      <c r="M47" s="233"/>
      <c r="N47" s="234"/>
      <c r="O47" s="126">
        <v>3</v>
      </c>
      <c r="P47" s="127">
        <v>4</v>
      </c>
      <c r="Q47" s="232" t="str">
        <f>IF(B36="",G37,IF(B40="","",IF(B40&gt;2,B37,IF(H40&gt;2,G37,""))))</f>
        <v/>
      </c>
      <c r="R47" s="233"/>
      <c r="S47" s="234"/>
    </row>
    <row r="48" spans="1:21" s="36" customFormat="1" ht="21.95" customHeight="1" outlineLevel="1" x14ac:dyDescent="0.2">
      <c r="B48" s="232" t="str">
        <f>IF(G4="",B6,IF(B8="","",IF(B8&gt;2,B6,IF(H8&gt;2,G6,""))))</f>
        <v>LEFEBVRE Mahaut</v>
      </c>
      <c r="C48" s="233"/>
      <c r="D48" s="234"/>
      <c r="E48" s="126">
        <v>5</v>
      </c>
      <c r="F48" s="127">
        <v>6</v>
      </c>
      <c r="G48" s="232" t="str">
        <f>IF(B14="",G16,IF(B18="","",IF(B18&gt;2,B16,IF(H18&gt;2,G16,""))))</f>
        <v/>
      </c>
      <c r="H48" s="233"/>
      <c r="I48" s="234"/>
      <c r="J48" s="37"/>
      <c r="K48" s="37"/>
      <c r="L48" s="232" t="str">
        <f>IF(G25="",B27,IF(B29="","",IF(B29&gt;2,B27,IF(H29&gt;2,G27,""))))</f>
        <v/>
      </c>
      <c r="M48" s="233"/>
      <c r="N48" s="234"/>
      <c r="O48" s="126">
        <v>5</v>
      </c>
      <c r="P48" s="127">
        <v>6</v>
      </c>
      <c r="Q48" s="232" t="str">
        <f>IF(B36="",G38,IF(B40="","",IF(B40&gt;2,B38,IF(H40&gt;2,G38,""))))</f>
        <v/>
      </c>
      <c r="R48" s="233"/>
      <c r="S48" s="234"/>
    </row>
    <row r="49" spans="1:21" s="36" customFormat="1" ht="21.95" customHeight="1" outlineLevel="1" thickBot="1" x14ac:dyDescent="0.25">
      <c r="B49" s="232" t="str">
        <f>IF(G4="",B7,IF(B8="","",IF(B8&gt;2,B7,IF(H8&gt;2,G7,""))))</f>
        <v>PINSON-COPIN Noa</v>
      </c>
      <c r="C49" s="233"/>
      <c r="D49" s="234"/>
      <c r="E49" s="126">
        <v>7</v>
      </c>
      <c r="F49" s="127">
        <v>8</v>
      </c>
      <c r="G49" s="232" t="str">
        <f>IF(B14="",G17,IF(B18="","",IF(B18&gt;2,B17,IF(H18&gt;2,G17,""))))</f>
        <v/>
      </c>
      <c r="H49" s="233"/>
      <c r="I49" s="234"/>
      <c r="J49" s="37"/>
      <c r="K49" s="37"/>
      <c r="L49" s="232" t="str">
        <f>IF(G25="",B28,IF(B29="","",IF(B29&gt;2,B28,IF(H29&gt;2,G28,""))))</f>
        <v/>
      </c>
      <c r="M49" s="233"/>
      <c r="N49" s="234"/>
      <c r="O49" s="126">
        <v>7</v>
      </c>
      <c r="P49" s="127">
        <v>8</v>
      </c>
      <c r="Q49" s="232" t="str">
        <f>IF(B36="",G39,IF(B40="","",IF(B40&gt;2,B39,IF(H40&gt;2,G39,""))))</f>
        <v/>
      </c>
      <c r="R49" s="233"/>
      <c r="S49" s="234"/>
    </row>
    <row r="50" spans="1:21" ht="21.95" customHeight="1" x14ac:dyDescent="0.2">
      <c r="A50" s="29" t="str">
        <f>IF(D50="","",IF(D50&gt;1,1,0))</f>
        <v/>
      </c>
      <c r="B50" s="226" t="str">
        <f>IF(D50="","",SUM(A50:A54))</f>
        <v/>
      </c>
      <c r="C50" s="235"/>
      <c r="D50" s="78"/>
      <c r="E50" s="257"/>
      <c r="F50" s="258"/>
      <c r="G50" s="78"/>
      <c r="H50" s="225" t="str">
        <f>IF(G50="","",SUM(J50:J54))</f>
        <v/>
      </c>
      <c r="I50" s="226"/>
      <c r="J50" s="41" t="str">
        <f>IF(G50="","",IF(G50&gt;1,1,0))</f>
        <v/>
      </c>
      <c r="K50" s="44" t="str">
        <f>IF(N50="","",IF(N50&gt;1,1,0))</f>
        <v/>
      </c>
      <c r="L50" s="226" t="str">
        <f>IF(N50="","",SUM(K50:K54))</f>
        <v/>
      </c>
      <c r="M50" s="235"/>
      <c r="N50" s="78"/>
      <c r="O50" s="275"/>
      <c r="P50" s="276"/>
      <c r="Q50" s="78"/>
      <c r="R50" s="225" t="str">
        <f>IF(Q50="","",SUM(T50:T54))</f>
        <v/>
      </c>
      <c r="S50" s="226"/>
      <c r="T50" s="41" t="str">
        <f>IF(Q50="","",IF(Q50&gt;1,1,0))</f>
        <v/>
      </c>
      <c r="U50" s="30"/>
    </row>
    <row r="51" spans="1:21" ht="21.95" customHeight="1" x14ac:dyDescent="0.2">
      <c r="A51" s="29" t="str">
        <f>IF(D51="","",IF(D51&gt;1,1,0))</f>
        <v/>
      </c>
      <c r="B51" s="228"/>
      <c r="C51" s="236"/>
      <c r="D51" s="79"/>
      <c r="E51" s="223"/>
      <c r="F51" s="224"/>
      <c r="G51" s="79"/>
      <c r="H51" s="227"/>
      <c r="I51" s="228"/>
      <c r="J51" s="41" t="str">
        <f>IF(G51="","",IF(G51&gt;1,1,0))</f>
        <v/>
      </c>
      <c r="K51" s="44" t="str">
        <f>IF(N51="","",IF(N51&gt;1,1,0))</f>
        <v/>
      </c>
      <c r="L51" s="228"/>
      <c r="M51" s="236"/>
      <c r="N51" s="79"/>
      <c r="O51" s="223"/>
      <c r="P51" s="224"/>
      <c r="Q51" s="79"/>
      <c r="R51" s="227"/>
      <c r="S51" s="228"/>
      <c r="T51" s="41" t="str">
        <f>IF(Q51="","",IF(Q51&gt;1,1,0))</f>
        <v/>
      </c>
      <c r="U51" s="30"/>
    </row>
    <row r="52" spans="1:21" ht="21.95" customHeight="1" x14ac:dyDescent="0.2">
      <c r="A52" s="29" t="str">
        <f>IF(D52="","",IF(D52&gt;1,1,0))</f>
        <v/>
      </c>
      <c r="B52" s="228"/>
      <c r="C52" s="236"/>
      <c r="D52" s="79"/>
      <c r="E52" s="223"/>
      <c r="F52" s="224"/>
      <c r="G52" s="79"/>
      <c r="H52" s="227"/>
      <c r="I52" s="228"/>
      <c r="J52" s="41" t="str">
        <f>IF(G52="","",IF(G52&gt;1,1,0))</f>
        <v/>
      </c>
      <c r="K52" s="44" t="str">
        <f>IF(N52="","",IF(N52&gt;1,1,0))</f>
        <v/>
      </c>
      <c r="L52" s="228"/>
      <c r="M52" s="236"/>
      <c r="N52" s="79"/>
      <c r="O52" s="223"/>
      <c r="P52" s="224"/>
      <c r="Q52" s="79"/>
      <c r="R52" s="227"/>
      <c r="S52" s="228"/>
      <c r="T52" s="41" t="str">
        <f>IF(Q52="","",IF(Q52&gt;1,1,0))</f>
        <v/>
      </c>
      <c r="U52" s="30"/>
    </row>
    <row r="53" spans="1:21" ht="21.95" customHeight="1" x14ac:dyDescent="0.2">
      <c r="A53" s="29" t="str">
        <f>IF(D53="","",IF(D53&gt;1,1,0))</f>
        <v/>
      </c>
      <c r="B53" s="228"/>
      <c r="C53" s="236"/>
      <c r="D53" s="79"/>
      <c r="E53" s="223"/>
      <c r="F53" s="224"/>
      <c r="G53" s="79"/>
      <c r="H53" s="227"/>
      <c r="I53" s="228"/>
      <c r="J53" s="41" t="str">
        <f>IF(G53="","",IF(G53&gt;1,1,0))</f>
        <v/>
      </c>
      <c r="K53" s="44" t="str">
        <f>IF(N53="","",IF(N53&gt;1,1,0))</f>
        <v/>
      </c>
      <c r="L53" s="228"/>
      <c r="M53" s="236"/>
      <c r="N53" s="79"/>
      <c r="O53" s="223"/>
      <c r="P53" s="224"/>
      <c r="Q53" s="79"/>
      <c r="R53" s="227"/>
      <c r="S53" s="228"/>
      <c r="T53" s="41" t="str">
        <f>IF(Q53="","",IF(Q53&gt;1,1,0))</f>
        <v/>
      </c>
      <c r="U53" s="30"/>
    </row>
    <row r="54" spans="1:21" ht="21.95" customHeight="1" thickBot="1" x14ac:dyDescent="0.25">
      <c r="A54" s="29" t="str">
        <f>IF(D54="","",IF(D54&gt;1,1,0))</f>
        <v/>
      </c>
      <c r="B54" s="228"/>
      <c r="C54" s="236"/>
      <c r="D54" s="80"/>
      <c r="E54" s="223"/>
      <c r="F54" s="224"/>
      <c r="G54" s="80"/>
      <c r="H54" s="227"/>
      <c r="I54" s="228"/>
      <c r="J54" s="41" t="str">
        <f>IF(G54="","",IF(G54&gt;1,1,0))</f>
        <v/>
      </c>
      <c r="K54" s="44" t="str">
        <f>IF(N54="","",IF(N54&gt;1,1,0))</f>
        <v/>
      </c>
      <c r="L54" s="228"/>
      <c r="M54" s="236"/>
      <c r="N54" s="80"/>
      <c r="O54" s="223"/>
      <c r="P54" s="224"/>
      <c r="Q54" s="80"/>
      <c r="R54" s="227"/>
      <c r="S54" s="228"/>
      <c r="T54" s="41" t="str">
        <f>IF(Q54="","",IF(Q54&gt;1,1,0))</f>
        <v/>
      </c>
      <c r="U54" s="30"/>
    </row>
    <row r="55" spans="1:21" ht="30" customHeight="1" thickBot="1" x14ac:dyDescent="0.25">
      <c r="J55" s="28"/>
      <c r="K55" s="28"/>
      <c r="U55" s="30"/>
    </row>
    <row r="56" spans="1:21" s="38" customFormat="1" ht="27.95" customHeight="1" thickBot="1" x14ac:dyDescent="0.25">
      <c r="B56" s="265" t="str">
        <f>IF(Q4="",L4,IF(L8="","",IF(L8&gt;2,L4,IF(R8&gt;2,Q4,""))))</f>
        <v/>
      </c>
      <c r="C56" s="266"/>
      <c r="D56" s="267"/>
      <c r="E56" s="249" t="s">
        <v>11</v>
      </c>
      <c r="F56" s="250"/>
      <c r="G56" s="265" t="str">
        <f>IF(L14="",Q14,IF(L18="","",IF(L18&gt;2,L14,IF(R18&gt;2,Q14,""))))</f>
        <v/>
      </c>
      <c r="H56" s="266"/>
      <c r="I56" s="267"/>
      <c r="J56" s="40"/>
      <c r="K56" s="40"/>
      <c r="L56" s="265" t="str">
        <f>IF(Q25="",L25,IF(L29="","",IF(L29&gt;2,L25,IF(R29&gt;2,Q25,""))))</f>
        <v/>
      </c>
      <c r="M56" s="266"/>
      <c r="N56" s="267"/>
      <c r="O56" s="249" t="s">
        <v>11</v>
      </c>
      <c r="P56" s="250"/>
      <c r="Q56" s="265" t="str">
        <f>IF(L36="",Q36,IF(L40="","",IF(L40&gt;2,L36,IF(R40&gt;2,Q36,""))))</f>
        <v>Tir National de Versailles</v>
      </c>
      <c r="R56" s="266"/>
      <c r="S56" s="267"/>
      <c r="U56" s="42"/>
    </row>
    <row r="57" spans="1:21" s="36" customFormat="1" ht="21.95" customHeight="1" outlineLevel="1" x14ac:dyDescent="0.2">
      <c r="B57" s="232" t="str">
        <f>IF(Q4="",L5,IF(L8="","",IF(L8&gt;2,L5,IF(R8&gt;2,Q5,""))))</f>
        <v/>
      </c>
      <c r="C57" s="233"/>
      <c r="D57" s="234"/>
      <c r="E57" s="126">
        <v>13</v>
      </c>
      <c r="F57" s="127">
        <v>14</v>
      </c>
      <c r="G57" s="232" t="str">
        <f>IF(L14="",Q15,IF(L18="","",IF(L18&gt;2,L15,IF(R18&gt;2,Q15,""))))</f>
        <v/>
      </c>
      <c r="H57" s="233"/>
      <c r="I57" s="234"/>
      <c r="J57" s="37"/>
      <c r="K57" s="37"/>
      <c r="L57" s="232" t="str">
        <f>IF(Q25="",L26,IF(L29="","",IF(L29&gt;2,L26,IF(R29&gt;2,Q26,""))))</f>
        <v/>
      </c>
      <c r="M57" s="233"/>
      <c r="N57" s="234"/>
      <c r="O57" s="126">
        <v>13</v>
      </c>
      <c r="P57" s="127">
        <v>14</v>
      </c>
      <c r="Q57" s="232" t="str">
        <f>IF(L36="",Q37,IF(L40="","",IF(L40&gt;2,L37,IF(R40&gt;2,Q37,""))))</f>
        <v>ECHEGU Eloïs</v>
      </c>
      <c r="R57" s="233"/>
      <c r="S57" s="234"/>
      <c r="U57" s="43"/>
    </row>
    <row r="58" spans="1:21" s="36" customFormat="1" ht="21.95" customHeight="1" outlineLevel="1" x14ac:dyDescent="0.2">
      <c r="B58" s="232" t="str">
        <f>IF(Q4="",L6,IF(L8="","",IF(L8&gt;2,L6,IF(R8&gt;2,Q6,""))))</f>
        <v/>
      </c>
      <c r="C58" s="233"/>
      <c r="D58" s="234"/>
      <c r="E58" s="126">
        <v>15</v>
      </c>
      <c r="F58" s="127">
        <v>16</v>
      </c>
      <c r="G58" s="232" t="str">
        <f>IF(L14="",Q16,IF(L18="","",IF(L18&gt;2,L16,IF(R18&gt;2,Q16,""))))</f>
        <v/>
      </c>
      <c r="H58" s="233"/>
      <c r="I58" s="234"/>
      <c r="J58" s="37"/>
      <c r="K58" s="37"/>
      <c r="L58" s="232" t="str">
        <f>IF(Q25="",L27,IF(L29="","",IF(L29&gt;2,L27,IF(R29&gt;2,Q27,""))))</f>
        <v/>
      </c>
      <c r="M58" s="233"/>
      <c r="N58" s="234"/>
      <c r="O58" s="126">
        <v>15</v>
      </c>
      <c r="P58" s="127">
        <v>16</v>
      </c>
      <c r="Q58" s="232" t="str">
        <f>IF(L36="",Q38,IF(L40="","",IF(L40&gt;2,L38,IF(R40&gt;2,Q38,""))))</f>
        <v>LAMBERT Dorian</v>
      </c>
      <c r="R58" s="233"/>
      <c r="S58" s="234"/>
      <c r="U58" s="43"/>
    </row>
    <row r="59" spans="1:21" s="36" customFormat="1" ht="21.95" customHeight="1" outlineLevel="1" thickBot="1" x14ac:dyDescent="0.25">
      <c r="B59" s="232" t="str">
        <f>IF(Q4="",L7,IF(L8="","",IF(L8&gt;2,L7,IF(R8&gt;2,Q7,""))))</f>
        <v/>
      </c>
      <c r="C59" s="233"/>
      <c r="D59" s="234"/>
      <c r="E59" s="126">
        <v>17</v>
      </c>
      <c r="F59" s="127">
        <v>18</v>
      </c>
      <c r="G59" s="232" t="str">
        <f>IF(L14="",Q17,IF(L18="","",IF(L18&gt;2,L17,IF(R18&gt;2,Q17,""))))</f>
        <v/>
      </c>
      <c r="H59" s="233"/>
      <c r="I59" s="234"/>
      <c r="J59" s="37"/>
      <c r="K59" s="37"/>
      <c r="L59" s="232" t="str">
        <f>IF(Q25="",L28,IF(L29="","",IF(L29&gt;2,L28,IF(R29&gt;2,Q28,""))))</f>
        <v/>
      </c>
      <c r="M59" s="233"/>
      <c r="N59" s="234"/>
      <c r="O59" s="126">
        <v>17</v>
      </c>
      <c r="P59" s="127">
        <v>18</v>
      </c>
      <c r="Q59" s="232" t="str">
        <f>IF(L36="",Q39,IF(L40="","",IF(L40&gt;2,L39,IF(R40&gt;2,Q39,""))))</f>
        <v>BOUGEARD Amandine</v>
      </c>
      <c r="R59" s="233"/>
      <c r="S59" s="234"/>
      <c r="U59" s="43"/>
    </row>
    <row r="60" spans="1:21" ht="21.95" customHeight="1" x14ac:dyDescent="0.2">
      <c r="A60" s="29" t="str">
        <f>IF(D60="","",IF(D60&gt;1,1,0))</f>
        <v/>
      </c>
      <c r="B60" s="226" t="str">
        <f>IF(D60="","",SUM(A60:A64))</f>
        <v/>
      </c>
      <c r="C60" s="235"/>
      <c r="D60" s="78"/>
      <c r="E60" s="257"/>
      <c r="F60" s="258"/>
      <c r="G60" s="78"/>
      <c r="H60" s="225" t="str">
        <f>IF(G60="","",SUM(J60:J64))</f>
        <v/>
      </c>
      <c r="I60" s="226"/>
      <c r="J60" s="41" t="str">
        <f>IF(G60="","",IF(G60&gt;1,1,0))</f>
        <v/>
      </c>
      <c r="K60" s="44">
        <f>IF(N60="","",IF(N60&gt;1,1,0))</f>
        <v>0</v>
      </c>
      <c r="L60" s="226">
        <f>IF(N60="","",SUM(K60:K64))</f>
        <v>0</v>
      </c>
      <c r="M60" s="235"/>
      <c r="N60" s="78">
        <v>0</v>
      </c>
      <c r="O60" s="257"/>
      <c r="P60" s="258"/>
      <c r="Q60" s="78"/>
      <c r="R60" s="225" t="str">
        <f>IF(Q60="","",SUM(T60:T64))</f>
        <v/>
      </c>
      <c r="S60" s="226"/>
      <c r="T60" s="41" t="str">
        <f>IF(Q60="","",IF(Q60&gt;1,1,0))</f>
        <v/>
      </c>
      <c r="U60" s="30"/>
    </row>
    <row r="61" spans="1:21" ht="21.95" customHeight="1" x14ac:dyDescent="0.2">
      <c r="A61" s="29" t="str">
        <f>IF(D61="","",IF(D61&gt;1,1,0))</f>
        <v/>
      </c>
      <c r="B61" s="228"/>
      <c r="C61" s="236"/>
      <c r="D61" s="79"/>
      <c r="E61" s="223"/>
      <c r="F61" s="224"/>
      <c r="G61" s="79"/>
      <c r="H61" s="227"/>
      <c r="I61" s="228"/>
      <c r="J61" s="41" t="str">
        <f>IF(G61="","",IF(G61&gt;1,1,0))</f>
        <v/>
      </c>
      <c r="K61" s="44">
        <f>IF(N61="","",IF(N61&gt;1,1,0))</f>
        <v>0</v>
      </c>
      <c r="L61" s="228"/>
      <c r="M61" s="236"/>
      <c r="N61" s="79">
        <v>0</v>
      </c>
      <c r="O61" s="223"/>
      <c r="P61" s="224"/>
      <c r="Q61" s="79"/>
      <c r="R61" s="227"/>
      <c r="S61" s="228"/>
      <c r="T61" s="41" t="str">
        <f>IF(Q61="","",IF(Q61&gt;1,1,0))</f>
        <v/>
      </c>
      <c r="U61" s="30"/>
    </row>
    <row r="62" spans="1:21" ht="21.95" customHeight="1" x14ac:dyDescent="0.2">
      <c r="A62" s="29" t="str">
        <f>IF(D62="","",IF(D62&gt;1,1,0))</f>
        <v/>
      </c>
      <c r="B62" s="228"/>
      <c r="C62" s="236"/>
      <c r="D62" s="79"/>
      <c r="E62" s="223"/>
      <c r="F62" s="224"/>
      <c r="G62" s="79"/>
      <c r="H62" s="227"/>
      <c r="I62" s="228"/>
      <c r="J62" s="41" t="str">
        <f>IF(G62="","",IF(G62&gt;1,1,0))</f>
        <v/>
      </c>
      <c r="K62" s="44">
        <f>IF(N62="","",IF(N62&gt;1,1,0))</f>
        <v>0</v>
      </c>
      <c r="L62" s="228"/>
      <c r="M62" s="236"/>
      <c r="N62" s="79">
        <v>0</v>
      </c>
      <c r="O62" s="223"/>
      <c r="P62" s="224"/>
      <c r="Q62" s="79"/>
      <c r="R62" s="227"/>
      <c r="S62" s="228"/>
      <c r="T62" s="41" t="str">
        <f>IF(Q62="","",IF(Q62&gt;1,1,0))</f>
        <v/>
      </c>
      <c r="U62" s="30"/>
    </row>
    <row r="63" spans="1:21" ht="21.95" customHeight="1" x14ac:dyDescent="0.2">
      <c r="A63" s="29" t="str">
        <f>IF(D63="","",IF(D63&gt;1,1,0))</f>
        <v/>
      </c>
      <c r="B63" s="228"/>
      <c r="C63" s="236"/>
      <c r="D63" s="79"/>
      <c r="E63" s="223"/>
      <c r="F63" s="224"/>
      <c r="G63" s="79"/>
      <c r="H63" s="227"/>
      <c r="I63" s="228"/>
      <c r="J63" s="41" t="str">
        <f>IF(G63="","",IF(G63&gt;1,1,0))</f>
        <v/>
      </c>
      <c r="K63" s="44" t="str">
        <f>IF(N63="","",IF(N63&gt;1,1,0))</f>
        <v/>
      </c>
      <c r="L63" s="228"/>
      <c r="M63" s="236"/>
      <c r="N63" s="79"/>
      <c r="O63" s="223"/>
      <c r="P63" s="224"/>
      <c r="Q63" s="79"/>
      <c r="R63" s="227"/>
      <c r="S63" s="228"/>
      <c r="T63" s="41" t="str">
        <f>IF(Q63="","",IF(Q63&gt;1,1,0))</f>
        <v/>
      </c>
      <c r="U63" s="30"/>
    </row>
    <row r="64" spans="1:21" ht="21.95" customHeight="1" thickBot="1" x14ac:dyDescent="0.25">
      <c r="A64" s="29" t="str">
        <f>IF(D64="","",IF(D64&gt;1,1,0))</f>
        <v/>
      </c>
      <c r="B64" s="228"/>
      <c r="C64" s="236"/>
      <c r="D64" s="80"/>
      <c r="E64" s="223"/>
      <c r="F64" s="224"/>
      <c r="G64" s="80"/>
      <c r="H64" s="227"/>
      <c r="I64" s="228"/>
      <c r="J64" s="41" t="str">
        <f>IF(G64="","",IF(G64&gt;1,1,0))</f>
        <v/>
      </c>
      <c r="K64" s="44" t="str">
        <f>IF(N64="","",IF(N64&gt;1,1,0))</f>
        <v/>
      </c>
      <c r="L64" s="228"/>
      <c r="M64" s="236"/>
      <c r="N64" s="80"/>
      <c r="O64" s="223"/>
      <c r="P64" s="224"/>
      <c r="Q64" s="80"/>
      <c r="R64" s="227"/>
      <c r="S64" s="228"/>
      <c r="T64" s="41" t="str">
        <f>IF(Q64="","",IF(Q64&gt;1,1,0))</f>
        <v/>
      </c>
      <c r="U64" s="30"/>
    </row>
    <row r="65" spans="1:21" ht="249.95" hidden="1" customHeight="1" outlineLevel="1" x14ac:dyDescent="0.2">
      <c r="J65" s="30"/>
    </row>
    <row r="66" spans="1:21" ht="60" customHeight="1" collapsed="1" thickBot="1" x14ac:dyDescent="0.25">
      <c r="A66" s="222" t="s">
        <v>6</v>
      </c>
      <c r="B66" s="222"/>
      <c r="C66" s="222"/>
      <c r="D66" s="222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</row>
    <row r="67" spans="1:21" s="38" customFormat="1" ht="27.95" customHeight="1" thickBot="1" x14ac:dyDescent="0.25">
      <c r="B67" s="246" t="str">
        <f>IF(G46="",B46,IF(B50="","",IF(H50="","",IF(B50&gt;2,B46,IF(H50&gt;2,G46,"")))))</f>
        <v>Amicale des Tireurs de Buc</v>
      </c>
      <c r="C67" s="247"/>
      <c r="D67" s="248"/>
      <c r="E67" s="249" t="s">
        <v>11</v>
      </c>
      <c r="F67" s="250"/>
      <c r="G67" s="246" t="str">
        <f>IF(B56="",G56,IF(B60="","",IF(H60="","",IF(B60&gt;2,B56,IF(H60&gt;2,G56,"")))))</f>
        <v/>
      </c>
      <c r="H67" s="247"/>
      <c r="I67" s="248"/>
      <c r="J67" s="40"/>
      <c r="K67" s="39"/>
      <c r="L67" s="246" t="str">
        <f>IF(Q46="",L46,IF(L50="","",IF(R50="","",IF(L50&gt;2,L46,IF(R50&gt;2,Q46,"")))))</f>
        <v/>
      </c>
      <c r="M67" s="247"/>
      <c r="N67" s="248"/>
      <c r="O67" s="249" t="s">
        <v>11</v>
      </c>
      <c r="P67" s="250"/>
      <c r="Q67" s="246" t="str">
        <f>IF(L56="",Q56,IF(L60="","",IF(R60="","",IF(L60&gt;2,L56,IF(R60&gt;2,Q56,"")))))</f>
        <v>Tir National de Versailles</v>
      </c>
      <c r="R67" s="247"/>
      <c r="S67" s="248"/>
    </row>
    <row r="68" spans="1:21" s="36" customFormat="1" ht="21.95" customHeight="1" outlineLevel="1" x14ac:dyDescent="0.2">
      <c r="B68" s="243" t="str">
        <f>IF(G46="",B47,IF(B50="","",IF(H50="","",IF(B50&gt;2,B47,IF(H50&gt;2,G47,"")))))</f>
        <v>ASFAUX Filip</v>
      </c>
      <c r="C68" s="244"/>
      <c r="D68" s="245"/>
      <c r="E68" s="130">
        <v>6</v>
      </c>
      <c r="F68" s="131">
        <v>7</v>
      </c>
      <c r="G68" s="243" t="str">
        <f>IF(B56="",G57,IF(B60="","",IF(H60="","",IF(B60&gt;2,B57,IF(H60&gt;2,G57,"")))))</f>
        <v/>
      </c>
      <c r="H68" s="244"/>
      <c r="I68" s="245"/>
      <c r="J68" s="37"/>
      <c r="K68" s="35"/>
      <c r="L68" s="243" t="str">
        <f>IF(Q46="",L47,IF(L50="","",IF(R50="","",IF(L50&gt;2,L47,IF(R50&gt;2,Q47,"")))))</f>
        <v/>
      </c>
      <c r="M68" s="244"/>
      <c r="N68" s="245"/>
      <c r="O68" s="132">
        <v>14</v>
      </c>
      <c r="P68" s="133">
        <v>15</v>
      </c>
      <c r="Q68" s="243" t="str">
        <f>IF(L56="",Q57,IF(L60="","",IF(R60="","",IF(L60&gt;2,L57,IF(R60&gt;2,Q57,"")))))</f>
        <v>ECHEGU Eloïs</v>
      </c>
      <c r="R68" s="244"/>
      <c r="S68" s="245"/>
    </row>
    <row r="69" spans="1:21" s="36" customFormat="1" ht="21.95" customHeight="1" outlineLevel="1" x14ac:dyDescent="0.2">
      <c r="B69" s="243" t="str">
        <f>IF(G46="",B48,IF(B50="","",IF(H50="","",IF(B50&gt;2,B48,IF(H50&gt;2,G48,"")))))</f>
        <v>LEFEBVRE Mahaut</v>
      </c>
      <c r="C69" s="244"/>
      <c r="D69" s="245"/>
      <c r="E69" s="130">
        <v>8</v>
      </c>
      <c r="F69" s="131">
        <v>9</v>
      </c>
      <c r="G69" s="243" t="str">
        <f>IF(B56="",G58,IF(B60="","",IF(H60="","",IF(B60&gt;2,B58,IF(H60&gt;2,G58,"")))))</f>
        <v/>
      </c>
      <c r="H69" s="244"/>
      <c r="I69" s="245"/>
      <c r="J69" s="37"/>
      <c r="K69" s="35"/>
      <c r="L69" s="243" t="str">
        <f>IF(Q46="",L48,IF(L50="","",IF(R50="","",IF(L50&gt;2,L48,IF(R50&gt;2,Q48,"")))))</f>
        <v/>
      </c>
      <c r="M69" s="244"/>
      <c r="N69" s="245"/>
      <c r="O69" s="132">
        <v>16</v>
      </c>
      <c r="P69" s="133">
        <v>17</v>
      </c>
      <c r="Q69" s="243" t="str">
        <f>IF(L56="",Q58,IF(L60="","",IF(R60="","",IF(L60&gt;2,L58,IF(R60&gt;2,Q58,"")))))</f>
        <v>LAMBERT Dorian</v>
      </c>
      <c r="R69" s="244"/>
      <c r="S69" s="245"/>
    </row>
    <row r="70" spans="1:21" s="36" customFormat="1" ht="21.95" customHeight="1" outlineLevel="1" thickBot="1" x14ac:dyDescent="0.25">
      <c r="B70" s="243" t="str">
        <f>IF(G46="",B49,IF(B50="","",IF(H50="","",IF(B50&gt;2,B49,IF(H50&gt;2,G49,"")))))</f>
        <v>PINSON-COPIN Noa</v>
      </c>
      <c r="C70" s="244"/>
      <c r="D70" s="245"/>
      <c r="E70" s="130">
        <v>10</v>
      </c>
      <c r="F70" s="131">
        <v>11</v>
      </c>
      <c r="G70" s="243" t="str">
        <f>IF(B56="",G59,IF(B60="","",IF(H60="","",IF(B60&gt;2,B59,IF(H60&gt;2,G59,"")))))</f>
        <v/>
      </c>
      <c r="H70" s="244"/>
      <c r="I70" s="245"/>
      <c r="J70" s="37"/>
      <c r="K70" s="35"/>
      <c r="L70" s="243" t="str">
        <f>IF(Q46="",L49,IF(L50="","",IF(R50="","",IF(L50&gt;2,L49,IF(R50&gt;2,Q49,"")))))</f>
        <v/>
      </c>
      <c r="M70" s="244"/>
      <c r="N70" s="245"/>
      <c r="O70" s="132">
        <v>18</v>
      </c>
      <c r="P70" s="133">
        <v>19</v>
      </c>
      <c r="Q70" s="243" t="str">
        <f>IF(L56="",Q59,IF(L60="","",IF(R60="","",IF(L60&gt;2,L59,IF(R60&gt;2,Q59,"")))))</f>
        <v>BOUGEARD Amandine</v>
      </c>
      <c r="R70" s="244"/>
      <c r="S70" s="245"/>
    </row>
    <row r="71" spans="1:21" ht="21.95" customHeight="1" x14ac:dyDescent="0.2">
      <c r="A71" s="29" t="str">
        <f>IF(D71="","",IF(D71&gt;1,1,0))</f>
        <v/>
      </c>
      <c r="B71" s="226" t="str">
        <f>IF(D71="","",SUM(A71:A77))</f>
        <v/>
      </c>
      <c r="C71" s="235"/>
      <c r="D71" s="78"/>
      <c r="E71" s="257"/>
      <c r="F71" s="258"/>
      <c r="G71" s="78"/>
      <c r="H71" s="225" t="str">
        <f>IF(G71="","",SUM(J71:J77))</f>
        <v/>
      </c>
      <c r="I71" s="226"/>
      <c r="J71" s="41" t="str">
        <f>IF(G71="","",IF(G71&gt;1,1,0))</f>
        <v/>
      </c>
      <c r="K71" s="44" t="str">
        <f>IF(N71="","",IF(N71&gt;1,1,0))</f>
        <v/>
      </c>
      <c r="L71" s="226" t="str">
        <f>IF(N71="","",SUM(K71:K77))</f>
        <v/>
      </c>
      <c r="M71" s="235"/>
      <c r="N71" s="78"/>
      <c r="O71" s="257"/>
      <c r="P71" s="258"/>
      <c r="Q71" s="78"/>
      <c r="R71" s="225" t="str">
        <f>IF(Q71="","",SUM(T71:T77))</f>
        <v/>
      </c>
      <c r="S71" s="226"/>
      <c r="T71" s="41" t="str">
        <f>IF(Q71="","",IF(Q71&gt;1,1,0))</f>
        <v/>
      </c>
      <c r="U71" s="30"/>
    </row>
    <row r="72" spans="1:21" ht="21.95" customHeight="1" x14ac:dyDescent="0.2">
      <c r="A72" s="29" t="str">
        <f t="shared" ref="A72:A77" si="0">IF(D72="","",IF(D72&gt;1,1,0))</f>
        <v/>
      </c>
      <c r="B72" s="228"/>
      <c r="C72" s="236"/>
      <c r="D72" s="79"/>
      <c r="E72" s="223"/>
      <c r="F72" s="224"/>
      <c r="G72" s="79"/>
      <c r="H72" s="227"/>
      <c r="I72" s="228"/>
      <c r="J72" s="41" t="str">
        <f t="shared" ref="J72:J77" si="1">IF(G72="","",IF(G72&gt;1,1,0))</f>
        <v/>
      </c>
      <c r="K72" s="44" t="str">
        <f t="shared" ref="K72:K77" si="2">IF(N72="","",IF(N72&gt;1,1,0))</f>
        <v/>
      </c>
      <c r="L72" s="228"/>
      <c r="M72" s="236"/>
      <c r="N72" s="79"/>
      <c r="O72" s="223"/>
      <c r="P72" s="224"/>
      <c r="Q72" s="79"/>
      <c r="R72" s="227"/>
      <c r="S72" s="228"/>
      <c r="T72" s="41" t="str">
        <f t="shared" ref="T72:T77" si="3">IF(Q72="","",IF(Q72&gt;1,1,0))</f>
        <v/>
      </c>
      <c r="U72" s="30"/>
    </row>
    <row r="73" spans="1:21" ht="21.95" customHeight="1" x14ac:dyDescent="0.2">
      <c r="A73" s="29" t="str">
        <f t="shared" si="0"/>
        <v/>
      </c>
      <c r="B73" s="228"/>
      <c r="C73" s="236"/>
      <c r="D73" s="79"/>
      <c r="E73" s="223"/>
      <c r="F73" s="224"/>
      <c r="G73" s="79"/>
      <c r="H73" s="227"/>
      <c r="I73" s="228"/>
      <c r="J73" s="41" t="str">
        <f t="shared" si="1"/>
        <v/>
      </c>
      <c r="K73" s="44" t="str">
        <f t="shared" si="2"/>
        <v/>
      </c>
      <c r="L73" s="228"/>
      <c r="M73" s="236"/>
      <c r="N73" s="79"/>
      <c r="O73" s="223"/>
      <c r="P73" s="224"/>
      <c r="Q73" s="79"/>
      <c r="R73" s="227"/>
      <c r="S73" s="228"/>
      <c r="T73" s="41" t="str">
        <f t="shared" si="3"/>
        <v/>
      </c>
      <c r="U73" s="30"/>
    </row>
    <row r="74" spans="1:21" ht="21.95" customHeight="1" x14ac:dyDescent="0.2">
      <c r="A74" s="29" t="str">
        <f t="shared" si="0"/>
        <v/>
      </c>
      <c r="B74" s="228"/>
      <c r="C74" s="236"/>
      <c r="D74" s="79"/>
      <c r="E74" s="223"/>
      <c r="F74" s="224"/>
      <c r="G74" s="79"/>
      <c r="H74" s="227"/>
      <c r="I74" s="228"/>
      <c r="J74" s="41" t="str">
        <f t="shared" si="1"/>
        <v/>
      </c>
      <c r="K74" s="44" t="str">
        <f t="shared" si="2"/>
        <v/>
      </c>
      <c r="L74" s="228"/>
      <c r="M74" s="236"/>
      <c r="N74" s="79"/>
      <c r="O74" s="223"/>
      <c r="P74" s="224"/>
      <c r="Q74" s="79"/>
      <c r="R74" s="227"/>
      <c r="S74" s="228"/>
      <c r="T74" s="41" t="str">
        <f t="shared" si="3"/>
        <v/>
      </c>
      <c r="U74" s="30"/>
    </row>
    <row r="75" spans="1:21" ht="21.95" customHeight="1" x14ac:dyDescent="0.2">
      <c r="A75" s="29" t="str">
        <f t="shared" si="0"/>
        <v/>
      </c>
      <c r="B75" s="228"/>
      <c r="C75" s="236"/>
      <c r="D75" s="79"/>
      <c r="E75" s="223"/>
      <c r="F75" s="224"/>
      <c r="G75" s="79"/>
      <c r="H75" s="227"/>
      <c r="I75" s="228"/>
      <c r="J75" s="41" t="str">
        <f t="shared" si="1"/>
        <v/>
      </c>
      <c r="K75" s="44" t="str">
        <f t="shared" si="2"/>
        <v/>
      </c>
      <c r="L75" s="228"/>
      <c r="M75" s="236"/>
      <c r="N75" s="79"/>
      <c r="O75" s="223"/>
      <c r="P75" s="224"/>
      <c r="Q75" s="79"/>
      <c r="R75" s="227"/>
      <c r="S75" s="228"/>
      <c r="T75" s="41" t="str">
        <f t="shared" si="3"/>
        <v/>
      </c>
      <c r="U75" s="30"/>
    </row>
    <row r="76" spans="1:21" ht="21.95" customHeight="1" x14ac:dyDescent="0.2">
      <c r="A76" s="29" t="str">
        <f t="shared" si="0"/>
        <v/>
      </c>
      <c r="B76" s="228"/>
      <c r="C76" s="236"/>
      <c r="D76" s="79"/>
      <c r="E76" s="223"/>
      <c r="F76" s="224"/>
      <c r="G76" s="79"/>
      <c r="H76" s="227"/>
      <c r="I76" s="228"/>
      <c r="J76" s="41" t="str">
        <f t="shared" si="1"/>
        <v/>
      </c>
      <c r="K76" s="44" t="str">
        <f t="shared" si="2"/>
        <v/>
      </c>
      <c r="L76" s="228"/>
      <c r="M76" s="236"/>
      <c r="N76" s="79"/>
      <c r="O76" s="223"/>
      <c r="P76" s="224"/>
      <c r="Q76" s="79"/>
      <c r="R76" s="227"/>
      <c r="S76" s="228"/>
      <c r="T76" s="41" t="str">
        <f t="shared" si="3"/>
        <v/>
      </c>
      <c r="U76" s="30"/>
    </row>
    <row r="77" spans="1:21" ht="21.95" customHeight="1" thickBot="1" x14ac:dyDescent="0.25">
      <c r="A77" s="29" t="str">
        <f t="shared" si="0"/>
        <v/>
      </c>
      <c r="B77" s="228"/>
      <c r="C77" s="236"/>
      <c r="D77" s="80"/>
      <c r="E77" s="223"/>
      <c r="F77" s="224"/>
      <c r="G77" s="80"/>
      <c r="H77" s="227"/>
      <c r="I77" s="228"/>
      <c r="J77" s="41" t="str">
        <f t="shared" si="1"/>
        <v/>
      </c>
      <c r="K77" s="44" t="str">
        <f t="shared" si="2"/>
        <v/>
      </c>
      <c r="L77" s="228"/>
      <c r="M77" s="236"/>
      <c r="N77" s="80"/>
      <c r="O77" s="223"/>
      <c r="P77" s="224"/>
      <c r="Q77" s="80"/>
      <c r="R77" s="227"/>
      <c r="S77" s="228"/>
      <c r="T77" s="41" t="str">
        <f t="shared" si="3"/>
        <v/>
      </c>
      <c r="U77" s="30"/>
    </row>
    <row r="78" spans="1:21" ht="327" hidden="1" customHeight="1" outlineLevel="1" x14ac:dyDescent="0.2">
      <c r="J78" s="27"/>
      <c r="K78" s="27"/>
      <c r="U78" s="30"/>
    </row>
    <row r="79" spans="1:21" ht="51" customHeight="1" collapsed="1" thickBot="1" x14ac:dyDescent="0.25">
      <c r="G79" s="277" t="s">
        <v>16</v>
      </c>
      <c r="H79" s="277"/>
      <c r="I79" s="277"/>
      <c r="J79" s="277"/>
      <c r="K79" s="277"/>
      <c r="L79" s="277"/>
      <c r="M79" s="277"/>
      <c r="N79" s="277"/>
      <c r="O79" s="53"/>
      <c r="P79" s="30"/>
      <c r="U79" s="30"/>
    </row>
    <row r="80" spans="1:21" s="38" customFormat="1" ht="27.95" customHeight="1" thickBot="1" x14ac:dyDescent="0.25">
      <c r="G80" s="259" t="str">
        <f>IF(G67="","",IF(B71="","",IF(H71="","",IF(B71&gt;3,G67,IF(H71&gt;3,B67,"")))))</f>
        <v/>
      </c>
      <c r="H80" s="260"/>
      <c r="I80" s="261"/>
      <c r="J80" s="249" t="s">
        <v>11</v>
      </c>
      <c r="K80" s="250"/>
      <c r="L80" s="259" t="str">
        <f>IF(L67="","",IF(L71="","",IF(R71="","",IF(L71&gt;3,Q67,IF(R71&gt;3,L67,"")))))</f>
        <v/>
      </c>
      <c r="M80" s="260"/>
      <c r="N80" s="261"/>
      <c r="O80" s="40"/>
      <c r="P80" s="42"/>
      <c r="U80" s="42"/>
    </row>
    <row r="81" spans="6:21" s="36" customFormat="1" ht="21.95" customHeight="1" outlineLevel="1" x14ac:dyDescent="0.2">
      <c r="G81" s="229" t="str">
        <f>IF(G67="","",IF(B71="","",IF(H71="","",IF(B71&gt;3,G68,IF(H71&gt;3,B68,"")))))</f>
        <v/>
      </c>
      <c r="H81" s="230"/>
      <c r="I81" s="231"/>
      <c r="J81" s="134">
        <v>6</v>
      </c>
      <c r="K81" s="135">
        <v>7</v>
      </c>
      <c r="L81" s="229" t="str">
        <f>IF(L67="","",IF(L71="","",IF(R71="","",IF(L71&gt;3,Q68,IF(R71&gt;3,L68,"")))))</f>
        <v/>
      </c>
      <c r="M81" s="230"/>
      <c r="N81" s="231"/>
      <c r="O81" s="37"/>
      <c r="P81" s="43"/>
      <c r="U81" s="43"/>
    </row>
    <row r="82" spans="6:21" s="36" customFormat="1" ht="21.95" customHeight="1" outlineLevel="1" x14ac:dyDescent="0.2">
      <c r="G82" s="229" t="str">
        <f>IF(G67="","",IF(B71="","",IF(H71="","",IF(B71&gt;3,G69,IF(H71&gt;3,B69,"")))))</f>
        <v/>
      </c>
      <c r="H82" s="230"/>
      <c r="I82" s="231"/>
      <c r="J82" s="134">
        <v>8</v>
      </c>
      <c r="K82" s="135">
        <v>9</v>
      </c>
      <c r="L82" s="229" t="str">
        <f>IF(L67="","",IF(L71="","",IF(R71="","",IF(L71&gt;3,Q69,IF(R71&gt;3,L69,"")))))</f>
        <v/>
      </c>
      <c r="M82" s="230"/>
      <c r="N82" s="231"/>
      <c r="O82" s="37"/>
      <c r="P82" s="43"/>
      <c r="U82" s="43"/>
    </row>
    <row r="83" spans="6:21" s="36" customFormat="1" ht="21.95" customHeight="1" outlineLevel="1" thickBot="1" x14ac:dyDescent="0.25">
      <c r="G83" s="229" t="str">
        <f>IF(G67="","",IF(B71="","",IF(H71="","",IF(B71&gt;3,G70,IF(H71&gt;3,B70,"")))))</f>
        <v/>
      </c>
      <c r="H83" s="230"/>
      <c r="I83" s="231"/>
      <c r="J83" s="134">
        <v>10</v>
      </c>
      <c r="K83" s="135">
        <v>11</v>
      </c>
      <c r="L83" s="229" t="str">
        <f>IF(L67="","",IF(L71="","",IF(R71="","",IF(L71&gt;3,Q70,IF(R71&gt;3,L70,"")))))</f>
        <v/>
      </c>
      <c r="M83" s="230"/>
      <c r="N83" s="231"/>
      <c r="O83" s="37"/>
      <c r="P83" s="43"/>
      <c r="U83" s="43"/>
    </row>
    <row r="84" spans="6:21" ht="21.95" customHeight="1" x14ac:dyDescent="0.2">
      <c r="F84" s="29" t="str">
        <f>IF(I84="","",IF(I84&gt;1,1,0))</f>
        <v/>
      </c>
      <c r="G84" s="226" t="str">
        <f>IF(I84="","",SUM(F84:F90))</f>
        <v/>
      </c>
      <c r="H84" s="235"/>
      <c r="I84" s="78"/>
      <c r="J84" s="257"/>
      <c r="K84" s="258"/>
      <c r="L84" s="78"/>
      <c r="M84" s="225" t="str">
        <f>IF(L84="","",SUM(O84:O90))</f>
        <v/>
      </c>
      <c r="N84" s="226"/>
      <c r="O84" s="41" t="str">
        <f>IF(L84="","",IF(L84&gt;1,1,0))</f>
        <v/>
      </c>
      <c r="P84" s="30"/>
      <c r="U84" s="30"/>
    </row>
    <row r="85" spans="6:21" ht="21.95" customHeight="1" x14ac:dyDescent="0.2">
      <c r="F85" s="29" t="str">
        <f t="shared" ref="F85:F90" si="4">IF(I85="","",IF(I85&gt;1,1,0))</f>
        <v/>
      </c>
      <c r="G85" s="228"/>
      <c r="H85" s="236"/>
      <c r="I85" s="79"/>
      <c r="J85" s="223"/>
      <c r="K85" s="224"/>
      <c r="L85" s="79"/>
      <c r="M85" s="227"/>
      <c r="N85" s="228"/>
      <c r="O85" s="41" t="str">
        <f t="shared" ref="O85:O90" si="5">IF(L85="","",IF(L85&gt;1,1,0))</f>
        <v/>
      </c>
      <c r="P85" s="30"/>
      <c r="U85" s="30"/>
    </row>
    <row r="86" spans="6:21" ht="21.95" customHeight="1" x14ac:dyDescent="0.2">
      <c r="F86" s="29" t="str">
        <f t="shared" si="4"/>
        <v/>
      </c>
      <c r="G86" s="228"/>
      <c r="H86" s="236"/>
      <c r="I86" s="79"/>
      <c r="J86" s="223"/>
      <c r="K86" s="224"/>
      <c r="L86" s="79"/>
      <c r="M86" s="227"/>
      <c r="N86" s="228"/>
      <c r="O86" s="41" t="str">
        <f t="shared" si="5"/>
        <v/>
      </c>
      <c r="P86" s="30"/>
      <c r="U86" s="30"/>
    </row>
    <row r="87" spans="6:21" ht="21.95" customHeight="1" x14ac:dyDescent="0.2">
      <c r="F87" s="29" t="str">
        <f t="shared" si="4"/>
        <v/>
      </c>
      <c r="G87" s="228"/>
      <c r="H87" s="236"/>
      <c r="I87" s="79"/>
      <c r="J87" s="223"/>
      <c r="K87" s="224"/>
      <c r="L87" s="79"/>
      <c r="M87" s="227"/>
      <c r="N87" s="228"/>
      <c r="O87" s="41" t="str">
        <f t="shared" si="5"/>
        <v/>
      </c>
      <c r="P87" s="30"/>
      <c r="U87" s="30"/>
    </row>
    <row r="88" spans="6:21" ht="21.95" customHeight="1" x14ac:dyDescent="0.2">
      <c r="F88" s="29" t="str">
        <f t="shared" si="4"/>
        <v/>
      </c>
      <c r="G88" s="228"/>
      <c r="H88" s="236"/>
      <c r="I88" s="79"/>
      <c r="J88" s="223"/>
      <c r="K88" s="224"/>
      <c r="L88" s="79"/>
      <c r="M88" s="227"/>
      <c r="N88" s="228"/>
      <c r="O88" s="41" t="str">
        <f t="shared" si="5"/>
        <v/>
      </c>
      <c r="P88" s="30"/>
      <c r="U88" s="30"/>
    </row>
    <row r="89" spans="6:21" ht="21.95" customHeight="1" x14ac:dyDescent="0.2">
      <c r="F89" s="29" t="str">
        <f t="shared" si="4"/>
        <v/>
      </c>
      <c r="G89" s="228"/>
      <c r="H89" s="236"/>
      <c r="I89" s="79"/>
      <c r="J89" s="223"/>
      <c r="K89" s="224"/>
      <c r="L89" s="79"/>
      <c r="M89" s="227"/>
      <c r="N89" s="228"/>
      <c r="O89" s="41" t="str">
        <f t="shared" si="5"/>
        <v/>
      </c>
      <c r="P89" s="30"/>
      <c r="U89" s="30"/>
    </row>
    <row r="90" spans="6:21" ht="21.95" customHeight="1" thickBot="1" x14ac:dyDescent="0.25">
      <c r="F90" s="29" t="str">
        <f t="shared" si="4"/>
        <v/>
      </c>
      <c r="G90" s="228"/>
      <c r="H90" s="236"/>
      <c r="I90" s="80"/>
      <c r="J90" s="223"/>
      <c r="K90" s="224"/>
      <c r="L90" s="80"/>
      <c r="M90" s="227"/>
      <c r="N90" s="228"/>
      <c r="O90" s="41" t="str">
        <f t="shared" si="5"/>
        <v/>
      </c>
      <c r="P90" s="30"/>
      <c r="U90" s="30"/>
    </row>
    <row r="91" spans="6:21" ht="15" customHeight="1" x14ac:dyDescent="0.2"/>
    <row r="92" spans="6:21" ht="60" customHeight="1" x14ac:dyDescent="0.2">
      <c r="F92" s="26"/>
      <c r="G92" s="222" t="s">
        <v>19</v>
      </c>
      <c r="H92" s="222"/>
      <c r="I92" s="222"/>
      <c r="J92" s="222"/>
      <c r="K92" s="222"/>
      <c r="L92" s="222"/>
      <c r="M92" s="222"/>
      <c r="N92" s="222"/>
    </row>
    <row r="93" spans="6:21" ht="27.95" customHeight="1" thickBot="1" x14ac:dyDescent="0.25">
      <c r="F93" s="26"/>
      <c r="G93" s="26"/>
      <c r="H93" s="26"/>
      <c r="I93" s="26"/>
      <c r="J93" s="26"/>
      <c r="K93" s="26"/>
      <c r="L93" s="26"/>
      <c r="M93" s="26"/>
      <c r="N93" s="26"/>
    </row>
    <row r="94" spans="6:21" ht="27.95" customHeight="1" thickBot="1" x14ac:dyDescent="0.25">
      <c r="F94" s="39"/>
      <c r="G94" s="254" t="str">
        <f>IF(G67="",B67,IF(B71="","",IF(H71="","",IF(B71&gt;3,B67,IF(H71&gt;3,G67,"")))))</f>
        <v>Amicale des Tireurs de Buc</v>
      </c>
      <c r="H94" s="255"/>
      <c r="I94" s="256"/>
      <c r="J94" s="249" t="s">
        <v>11</v>
      </c>
      <c r="K94" s="250"/>
      <c r="L94" s="254" t="str">
        <f>IF(L67="",Q67,IF(L71="","",IF(R71="","",IF(L71&gt;3,L67,IF(R71&gt;3,Q67,"")))))</f>
        <v>Tir National de Versailles</v>
      </c>
      <c r="M94" s="255"/>
      <c r="N94" s="256"/>
      <c r="O94" s="38"/>
    </row>
    <row r="95" spans="6:21" ht="20.100000000000001" customHeight="1" outlineLevel="1" x14ac:dyDescent="0.2">
      <c r="F95" s="35"/>
      <c r="G95" s="251" t="str">
        <f>IF(G67="",B68,IF(B71="","",IF(H71="","",IF(B71&gt;3,B68,IF(H71&gt;3,G68,"")))))</f>
        <v>ASFAUX Filip</v>
      </c>
      <c r="H95" s="252"/>
      <c r="I95" s="253"/>
      <c r="J95" s="136">
        <v>2</v>
      </c>
      <c r="K95" s="137">
        <v>4</v>
      </c>
      <c r="L95" s="251" t="str">
        <f>IF(L67="",Q68,IF(L71="","",IF(R71="","",IF(L71&gt;3,L68,IF(R71&gt;3,Q68,"")))))</f>
        <v>ECHEGU Eloïs</v>
      </c>
      <c r="M95" s="252"/>
      <c r="N95" s="253"/>
      <c r="O95" s="36"/>
    </row>
    <row r="96" spans="6:21" ht="20.100000000000001" customHeight="1" outlineLevel="1" x14ac:dyDescent="0.2">
      <c r="F96" s="35"/>
      <c r="G96" s="251" t="str">
        <f>IF(G67="",B69,IF(B71="","",IF(H71="","",IF(B71&gt;3,B69,IF(H71&gt;3,G69,"")))))</f>
        <v>LEFEBVRE Mahaut</v>
      </c>
      <c r="H96" s="252"/>
      <c r="I96" s="253"/>
      <c r="J96" s="136">
        <v>6</v>
      </c>
      <c r="K96" s="137">
        <v>8</v>
      </c>
      <c r="L96" s="251" t="str">
        <f>IF(L67="",Q69,IF(L71="","",IF(R71="","",IF(L71&gt;3,L69,IF(R71&gt;3,Q69,"")))))</f>
        <v>LAMBERT Dorian</v>
      </c>
      <c r="M96" s="252"/>
      <c r="N96" s="253"/>
      <c r="O96" s="36"/>
    </row>
    <row r="97" spans="5:15" ht="20.100000000000001" customHeight="1" outlineLevel="1" thickBot="1" x14ac:dyDescent="0.25">
      <c r="F97" s="35"/>
      <c r="G97" s="251" t="str">
        <f>IF(G67="",B70,IF(B71="","",IF(H71="","",IF(B71&gt;3,B70,IF(H71&gt;3,G70,"")))))</f>
        <v>PINSON-COPIN Noa</v>
      </c>
      <c r="H97" s="252"/>
      <c r="I97" s="253"/>
      <c r="J97" s="136">
        <v>10</v>
      </c>
      <c r="K97" s="137">
        <v>12</v>
      </c>
      <c r="L97" s="251" t="str">
        <f>IF(L67="",Q70,IF(L71="","",IF(R71="","",IF(L71&gt;3,L70,IF(R71&gt;3,Q70,"")))))</f>
        <v>BOUGEARD Amandine</v>
      </c>
      <c r="M97" s="252"/>
      <c r="N97" s="253"/>
      <c r="O97" s="36"/>
    </row>
    <row r="98" spans="5:15" ht="21.95" customHeight="1" x14ac:dyDescent="0.2">
      <c r="E98" s="30"/>
      <c r="F98" s="44">
        <f>IF(I98="","",IF(I98&gt;1,1,0))</f>
        <v>1</v>
      </c>
      <c r="G98" s="226">
        <f>IF(I98="","",SUM(F98:F104))</f>
        <v>4</v>
      </c>
      <c r="H98" s="235"/>
      <c r="I98" s="78">
        <v>2</v>
      </c>
      <c r="J98" s="257"/>
      <c r="K98" s="258"/>
      <c r="L98" s="78">
        <v>1</v>
      </c>
      <c r="M98" s="225">
        <f>IF(L98="","",SUM(O98:O104))</f>
        <v>1</v>
      </c>
      <c r="N98" s="226"/>
      <c r="O98" s="41">
        <f>IF(L98="","",IF(L98&gt;1,1,0))</f>
        <v>0</v>
      </c>
    </row>
    <row r="99" spans="5:15" ht="21.95" customHeight="1" x14ac:dyDescent="0.2">
      <c r="E99" s="30"/>
      <c r="F99" s="44">
        <f t="shared" ref="F99:F104" si="6">IF(I99="","",IF(I99&gt;1,1,0))</f>
        <v>1</v>
      </c>
      <c r="G99" s="228"/>
      <c r="H99" s="236"/>
      <c r="I99" s="79">
        <v>2</v>
      </c>
      <c r="J99" s="223"/>
      <c r="K99" s="224"/>
      <c r="L99" s="79">
        <v>1</v>
      </c>
      <c r="M99" s="227"/>
      <c r="N99" s="228"/>
      <c r="O99" s="41">
        <f t="shared" ref="O99:O104" si="7">IF(L99="","",IF(L99&gt;1,1,0))</f>
        <v>0</v>
      </c>
    </row>
    <row r="100" spans="5:15" ht="21.95" customHeight="1" x14ac:dyDescent="0.2">
      <c r="E100" s="30"/>
      <c r="F100" s="44">
        <f t="shared" si="6"/>
        <v>0</v>
      </c>
      <c r="G100" s="228"/>
      <c r="H100" s="236"/>
      <c r="I100" s="79">
        <v>1</v>
      </c>
      <c r="J100" s="223"/>
      <c r="K100" s="224"/>
      <c r="L100" s="79">
        <v>2</v>
      </c>
      <c r="M100" s="227"/>
      <c r="N100" s="228"/>
      <c r="O100" s="41">
        <f t="shared" si="7"/>
        <v>1</v>
      </c>
    </row>
    <row r="101" spans="5:15" ht="21.95" customHeight="1" x14ac:dyDescent="0.2">
      <c r="E101" s="30"/>
      <c r="F101" s="44">
        <f t="shared" si="6"/>
        <v>1</v>
      </c>
      <c r="G101" s="228"/>
      <c r="H101" s="236"/>
      <c r="I101" s="79">
        <v>2</v>
      </c>
      <c r="J101" s="223"/>
      <c r="K101" s="224"/>
      <c r="L101" s="79">
        <v>1</v>
      </c>
      <c r="M101" s="227"/>
      <c r="N101" s="228"/>
      <c r="O101" s="41">
        <f t="shared" si="7"/>
        <v>0</v>
      </c>
    </row>
    <row r="102" spans="5:15" ht="21.95" customHeight="1" x14ac:dyDescent="0.2">
      <c r="E102" s="30"/>
      <c r="F102" s="44">
        <f t="shared" si="6"/>
        <v>1</v>
      </c>
      <c r="G102" s="228"/>
      <c r="H102" s="236"/>
      <c r="I102" s="79">
        <v>2</v>
      </c>
      <c r="J102" s="223"/>
      <c r="K102" s="224"/>
      <c r="L102" s="79">
        <v>1</v>
      </c>
      <c r="M102" s="227"/>
      <c r="N102" s="228"/>
      <c r="O102" s="41">
        <f t="shared" si="7"/>
        <v>0</v>
      </c>
    </row>
    <row r="103" spans="5:15" ht="21.95" customHeight="1" x14ac:dyDescent="0.2">
      <c r="E103" s="30"/>
      <c r="F103" s="44" t="str">
        <f t="shared" si="6"/>
        <v/>
      </c>
      <c r="G103" s="228"/>
      <c r="H103" s="236"/>
      <c r="I103" s="79"/>
      <c r="J103" s="223"/>
      <c r="K103" s="224"/>
      <c r="L103" s="79"/>
      <c r="M103" s="227"/>
      <c r="N103" s="228"/>
      <c r="O103" s="41" t="str">
        <f t="shared" si="7"/>
        <v/>
      </c>
    </row>
    <row r="104" spans="5:15" ht="21.95" customHeight="1" thickBot="1" x14ac:dyDescent="0.25">
      <c r="E104" s="30"/>
      <c r="F104" s="44" t="str">
        <f t="shared" si="6"/>
        <v/>
      </c>
      <c r="G104" s="228"/>
      <c r="H104" s="236"/>
      <c r="I104" s="80"/>
      <c r="J104" s="223"/>
      <c r="K104" s="224"/>
      <c r="L104" s="80"/>
      <c r="M104" s="227"/>
      <c r="N104" s="228"/>
      <c r="O104" s="41" t="str">
        <f t="shared" si="7"/>
        <v/>
      </c>
    </row>
    <row r="105" spans="5:15" ht="27.95" customHeight="1" x14ac:dyDescent="0.2">
      <c r="E105" s="30"/>
    </row>
    <row r="106" spans="5:15" ht="27.95" customHeight="1" x14ac:dyDescent="0.2">
      <c r="E106" s="30"/>
    </row>
    <row r="107" spans="5:15" ht="27.95" customHeight="1" x14ac:dyDescent="0.2">
      <c r="E107" s="30"/>
    </row>
    <row r="108" spans="5:15" ht="27.95" customHeight="1" x14ac:dyDescent="0.2">
      <c r="E108" s="30"/>
    </row>
    <row r="109" spans="5:15" ht="27.95" customHeight="1" x14ac:dyDescent="0.2">
      <c r="E109" s="30"/>
    </row>
  </sheetData>
  <sheetProtection password="CF6D" sheet="1" objects="1" scenarios="1" formatColumns="0" selectLockedCells="1"/>
  <mergeCells count="271">
    <mergeCell ref="O75:P75"/>
    <mergeCell ref="O76:P76"/>
    <mergeCell ref="O77:P77"/>
    <mergeCell ref="J94:K94"/>
    <mergeCell ref="J98:K98"/>
    <mergeCell ref="J99:K99"/>
    <mergeCell ref="J100:K100"/>
    <mergeCell ref="J101:K101"/>
    <mergeCell ref="J80:K80"/>
    <mergeCell ref="G79:N79"/>
    <mergeCell ref="J88:K88"/>
    <mergeCell ref="J89:K89"/>
    <mergeCell ref="G81:I81"/>
    <mergeCell ref="L81:N81"/>
    <mergeCell ref="G80:I80"/>
    <mergeCell ref="L96:N96"/>
    <mergeCell ref="L94:N94"/>
    <mergeCell ref="G82:I82"/>
    <mergeCell ref="L82:N82"/>
    <mergeCell ref="G83:I83"/>
    <mergeCell ref="G95:I95"/>
    <mergeCell ref="O64:P64"/>
    <mergeCell ref="E71:F71"/>
    <mergeCell ref="E72:F72"/>
    <mergeCell ref="E73:F73"/>
    <mergeCell ref="O71:P71"/>
    <mergeCell ref="O72:P72"/>
    <mergeCell ref="O73:P73"/>
    <mergeCell ref="E64:F64"/>
    <mergeCell ref="O67:P67"/>
    <mergeCell ref="G67:I67"/>
    <mergeCell ref="L67:N67"/>
    <mergeCell ref="O61:P61"/>
    <mergeCell ref="O62:P62"/>
    <mergeCell ref="O63:P63"/>
    <mergeCell ref="O44:P44"/>
    <mergeCell ref="L56:N56"/>
    <mergeCell ref="O56:P56"/>
    <mergeCell ref="O54:P54"/>
    <mergeCell ref="L59:N59"/>
    <mergeCell ref="O46:P46"/>
    <mergeCell ref="L47:N47"/>
    <mergeCell ref="O60:P60"/>
    <mergeCell ref="Q59:S59"/>
    <mergeCell ref="Q48:S48"/>
    <mergeCell ref="Q49:S49"/>
    <mergeCell ref="G48:I48"/>
    <mergeCell ref="Q39:S39"/>
    <mergeCell ref="Q47:S47"/>
    <mergeCell ref="Q46:S46"/>
    <mergeCell ref="G46:I46"/>
    <mergeCell ref="L46:N46"/>
    <mergeCell ref="Q57:S57"/>
    <mergeCell ref="L57:N57"/>
    <mergeCell ref="O51:P51"/>
    <mergeCell ref="O52:P52"/>
    <mergeCell ref="O53:P53"/>
    <mergeCell ref="R50:S54"/>
    <mergeCell ref="A45:T45"/>
    <mergeCell ref="B39:D39"/>
    <mergeCell ref="O41:P41"/>
    <mergeCell ref="L39:N39"/>
    <mergeCell ref="Q56:S56"/>
    <mergeCell ref="O50:P50"/>
    <mergeCell ref="L48:N48"/>
    <mergeCell ref="R40:S44"/>
    <mergeCell ref="G47:I47"/>
    <mergeCell ref="E4:F4"/>
    <mergeCell ref="E32:F32"/>
    <mergeCell ref="E33:F33"/>
    <mergeCell ref="B36:D36"/>
    <mergeCell ref="G36:I36"/>
    <mergeCell ref="E30:F30"/>
    <mergeCell ref="E31:F31"/>
    <mergeCell ref="B48:D48"/>
    <mergeCell ref="E40:F40"/>
    <mergeCell ref="B47:D47"/>
    <mergeCell ref="E29:F29"/>
    <mergeCell ref="B46:D46"/>
    <mergeCell ref="E46:F46"/>
    <mergeCell ref="A24:T24"/>
    <mergeCell ref="Q26:S26"/>
    <mergeCell ref="Q25:S25"/>
    <mergeCell ref="H40:I44"/>
    <mergeCell ref="E42:F42"/>
    <mergeCell ref="E43:F43"/>
    <mergeCell ref="G38:I38"/>
    <mergeCell ref="L29:M33"/>
    <mergeCell ref="L38:N38"/>
    <mergeCell ref="O12:P12"/>
    <mergeCell ref="O18:P18"/>
    <mergeCell ref="Q37:S37"/>
    <mergeCell ref="O32:P32"/>
    <mergeCell ref="O33:P33"/>
    <mergeCell ref="G27:I27"/>
    <mergeCell ref="L27:N27"/>
    <mergeCell ref="Q27:S27"/>
    <mergeCell ref="O25:P25"/>
    <mergeCell ref="O22:P22"/>
    <mergeCell ref="O20:P20"/>
    <mergeCell ref="O21:P21"/>
    <mergeCell ref="H18:I22"/>
    <mergeCell ref="L18:M22"/>
    <mergeCell ref="R18:S22"/>
    <mergeCell ref="Q38:S38"/>
    <mergeCell ref="Q28:S28"/>
    <mergeCell ref="B29:C33"/>
    <mergeCell ref="B40:C44"/>
    <mergeCell ref="H29:I33"/>
    <mergeCell ref="B28:D28"/>
    <mergeCell ref="G28:I28"/>
    <mergeCell ref="L28:N28"/>
    <mergeCell ref="B27:D27"/>
    <mergeCell ref="O42:P42"/>
    <mergeCell ref="G39:I39"/>
    <mergeCell ref="O43:P43"/>
    <mergeCell ref="E44:F44"/>
    <mergeCell ref="E41:F41"/>
    <mergeCell ref="O40:P40"/>
    <mergeCell ref="L40:M44"/>
    <mergeCell ref="G37:I37"/>
    <mergeCell ref="L37:N37"/>
    <mergeCell ref="R29:S33"/>
    <mergeCell ref="Q36:S36"/>
    <mergeCell ref="O36:P36"/>
    <mergeCell ref="O29:P29"/>
    <mergeCell ref="O30:P30"/>
    <mergeCell ref="O31:P31"/>
    <mergeCell ref="E18:F18"/>
    <mergeCell ref="G25:I25"/>
    <mergeCell ref="O14:P14"/>
    <mergeCell ref="E14:F14"/>
    <mergeCell ref="E21:F21"/>
    <mergeCell ref="E22:F22"/>
    <mergeCell ref="Q15:S15"/>
    <mergeCell ref="G16:I16"/>
    <mergeCell ref="L16:N16"/>
    <mergeCell ref="Q16:S16"/>
    <mergeCell ref="G17:I17"/>
    <mergeCell ref="L17:N17"/>
    <mergeCell ref="E19:F19"/>
    <mergeCell ref="E20:F20"/>
    <mergeCell ref="O19:P19"/>
    <mergeCell ref="B59:D59"/>
    <mergeCell ref="G59:I59"/>
    <mergeCell ref="G14:I14"/>
    <mergeCell ref="E54:F54"/>
    <mergeCell ref="O8:P8"/>
    <mergeCell ref="O9:P9"/>
    <mergeCell ref="O10:P10"/>
    <mergeCell ref="O11:P11"/>
    <mergeCell ref="B14:D14"/>
    <mergeCell ref="B56:D56"/>
    <mergeCell ref="B16:D16"/>
    <mergeCell ref="E10:F10"/>
    <mergeCell ref="E11:F11"/>
    <mergeCell ref="E12:F12"/>
    <mergeCell ref="B8:C12"/>
    <mergeCell ref="E8:F8"/>
    <mergeCell ref="H8:I12"/>
    <mergeCell ref="E9:F9"/>
    <mergeCell ref="E50:F50"/>
    <mergeCell ref="G49:I49"/>
    <mergeCell ref="B15:D15"/>
    <mergeCell ref="G15:I15"/>
    <mergeCell ref="L15:N15"/>
    <mergeCell ref="L25:N25"/>
    <mergeCell ref="B5:D5"/>
    <mergeCell ref="G58:I58"/>
    <mergeCell ref="L49:N49"/>
    <mergeCell ref="B50:C54"/>
    <mergeCell ref="H50:I54"/>
    <mergeCell ref="B49:D49"/>
    <mergeCell ref="L58:N58"/>
    <mergeCell ref="B57:D57"/>
    <mergeCell ref="G57:I57"/>
    <mergeCell ref="G5:I5"/>
    <mergeCell ref="B7:D7"/>
    <mergeCell ref="G7:I7"/>
    <mergeCell ref="B6:D6"/>
    <mergeCell ref="G6:I6"/>
    <mergeCell ref="L6:N6"/>
    <mergeCell ref="B26:D26"/>
    <mergeCell ref="G26:I26"/>
    <mergeCell ref="E25:F25"/>
    <mergeCell ref="B58:D58"/>
    <mergeCell ref="G56:I56"/>
    <mergeCell ref="E51:F51"/>
    <mergeCell ref="E52:F52"/>
    <mergeCell ref="E53:F53"/>
    <mergeCell ref="E56:F56"/>
    <mergeCell ref="E75:F75"/>
    <mergeCell ref="L71:M77"/>
    <mergeCell ref="E76:F76"/>
    <mergeCell ref="G70:I70"/>
    <mergeCell ref="L70:N70"/>
    <mergeCell ref="B60:C64"/>
    <mergeCell ref="L60:M64"/>
    <mergeCell ref="H60:I64"/>
    <mergeCell ref="E63:F63"/>
    <mergeCell ref="E60:F60"/>
    <mergeCell ref="E61:F61"/>
    <mergeCell ref="E62:F62"/>
    <mergeCell ref="H71:I77"/>
    <mergeCell ref="Q4:S4"/>
    <mergeCell ref="L80:N80"/>
    <mergeCell ref="R71:S77"/>
    <mergeCell ref="B4:D4"/>
    <mergeCell ref="G4:I4"/>
    <mergeCell ref="A3:T3"/>
    <mergeCell ref="O4:P4"/>
    <mergeCell ref="B68:D68"/>
    <mergeCell ref="G68:I68"/>
    <mergeCell ref="L68:N68"/>
    <mergeCell ref="B69:D69"/>
    <mergeCell ref="G69:I69"/>
    <mergeCell ref="L69:N69"/>
    <mergeCell ref="Q69:S69"/>
    <mergeCell ref="L26:N26"/>
    <mergeCell ref="B18:C22"/>
    <mergeCell ref="B17:D17"/>
    <mergeCell ref="E36:F36"/>
    <mergeCell ref="B38:D38"/>
    <mergeCell ref="B25:D25"/>
    <mergeCell ref="B37:D37"/>
    <mergeCell ref="E77:F77"/>
    <mergeCell ref="B70:D70"/>
    <mergeCell ref="E74:F74"/>
    <mergeCell ref="L4:N4"/>
    <mergeCell ref="L95:N95"/>
    <mergeCell ref="G94:I94"/>
    <mergeCell ref="J90:K90"/>
    <mergeCell ref="G84:H90"/>
    <mergeCell ref="G98:H104"/>
    <mergeCell ref="M98:N104"/>
    <mergeCell ref="J84:K84"/>
    <mergeCell ref="J85:K85"/>
    <mergeCell ref="J86:K86"/>
    <mergeCell ref="J87:K87"/>
    <mergeCell ref="G92:N92"/>
    <mergeCell ref="G97:I97"/>
    <mergeCell ref="L97:N97"/>
    <mergeCell ref="G96:I96"/>
    <mergeCell ref="J102:K102"/>
    <mergeCell ref="J103:K103"/>
    <mergeCell ref="J104:K104"/>
    <mergeCell ref="L36:N36"/>
    <mergeCell ref="A1:T2"/>
    <mergeCell ref="O74:P74"/>
    <mergeCell ref="M84:N90"/>
    <mergeCell ref="L83:N83"/>
    <mergeCell ref="Q58:S58"/>
    <mergeCell ref="L50:M54"/>
    <mergeCell ref="Q6:S6"/>
    <mergeCell ref="L5:N5"/>
    <mergeCell ref="Q5:S5"/>
    <mergeCell ref="Q7:S7"/>
    <mergeCell ref="R8:S12"/>
    <mergeCell ref="Q17:S17"/>
    <mergeCell ref="Q14:S14"/>
    <mergeCell ref="L7:N7"/>
    <mergeCell ref="L14:N14"/>
    <mergeCell ref="L8:M12"/>
    <mergeCell ref="Q68:S68"/>
    <mergeCell ref="Q67:S67"/>
    <mergeCell ref="R60:S64"/>
    <mergeCell ref="A66:T66"/>
    <mergeCell ref="B67:D67"/>
    <mergeCell ref="E67:F67"/>
    <mergeCell ref="Q70:S70"/>
    <mergeCell ref="B71:C77"/>
  </mergeCells>
  <phoneticPr fontId="2" type="noConversion"/>
  <conditionalFormatting sqref="G98:H104 L71:M77 G84:H90 B71:C77">
    <cfRule type="cellIs" dxfId="34" priority="22" stopIfTrue="1" operator="greaterThanOrEqual">
      <formula>4</formula>
    </cfRule>
    <cfRule type="cellIs" dxfId="33" priority="23" stopIfTrue="1" operator="equal">
      <formula>0</formula>
    </cfRule>
  </conditionalFormatting>
  <conditionalFormatting sqref="M98:N104 R71:S77 M84:N90 H71:I77">
    <cfRule type="cellIs" dxfId="32" priority="24" stopIfTrue="1" operator="greaterThanOrEqual">
      <formula>4</formula>
    </cfRule>
    <cfRule type="cellIs" dxfId="31" priority="25" stopIfTrue="1" operator="equal">
      <formula>0</formula>
    </cfRule>
  </conditionalFormatting>
  <conditionalFormatting sqref="N18:N22 D18:D22 D40:D44 N40:N44">
    <cfRule type="cellIs" dxfId="30" priority="27" operator="equal">
      <formula>0</formula>
    </cfRule>
  </conditionalFormatting>
  <conditionalFormatting sqref="Q18:Q22 G18:G22 G40:G44 Q40:Q44">
    <cfRule type="cellIs" dxfId="29" priority="29" stopIfTrue="1" operator="equal">
      <formula>0</formula>
    </cfRule>
  </conditionalFormatting>
  <conditionalFormatting sqref="I84:I90 D71:D77 D50:D54 N50:N54 D29:D33 N29:N33 D8:D12 N8:N12 D60:D64 N60:N64 N71:N77 I98:I104">
    <cfRule type="cellIs" dxfId="28" priority="31" stopIfTrue="1" operator="equal">
      <formula>0</formula>
    </cfRule>
  </conditionalFormatting>
  <conditionalFormatting sqref="B60:C64 L60:M64 B40:C44 L40:M44 B18:C22 L18:M22 B50:C54 L50:M54 B29:C33 L29:M33 B8:C12 L8:M12">
    <cfRule type="cellIs" dxfId="27" priority="34" stopIfTrue="1" operator="greaterThanOrEqual">
      <formula>3</formula>
    </cfRule>
    <cfRule type="cellIs" dxfId="26" priority="35" stopIfTrue="1" operator="equal">
      <formula>0</formula>
    </cfRule>
  </conditionalFormatting>
  <conditionalFormatting sqref="H60:I64 R60:S64 H40:I44 R40:S44 H18:I22 R18:S22 H29:I33 R29:S33 H50:I54 R50:S54 H8:I12 R8:S12">
    <cfRule type="cellIs" dxfId="25" priority="36" stopIfTrue="1" operator="greaterThanOrEqual">
      <formula>3</formula>
    </cfRule>
    <cfRule type="cellIs" dxfId="24" priority="37" stopIfTrue="1" operator="equal">
      <formula>0</formula>
    </cfRule>
  </conditionalFormatting>
  <conditionalFormatting sqref="B4:D4 G4:I4 L4:N4 Q4:S4 L5:S7 B5:I7 B14:D14 G14:I14 L14:N14 Q14:S14 L15:S17 B15:I17 B25:D25 G25:I25 L25:N25">
    <cfRule type="cellIs" dxfId="23" priority="19" operator="equal">
      <formula>0</formula>
    </cfRule>
    <cfRule type="containsErrors" dxfId="22" priority="38">
      <formula>ISERROR(B4)</formula>
    </cfRule>
    <cfRule type="containsBlanks" dxfId="21" priority="39">
      <formula>LEN(TRIM(B4))=0</formula>
    </cfRule>
  </conditionalFormatting>
  <conditionalFormatting sqref="B26:D28 G26:I28 L26:N28 Q25:S28 L36:N39 G36:I39 B36:D39 G46:I49 L46:N49 Q46:S49 L56:N59 G56:I59 B56:D59 G67:I70 L67:N70">
    <cfRule type="containsErrors" dxfId="20" priority="15">
      <formula>ISERROR(B25)</formula>
    </cfRule>
    <cfRule type="cellIs" dxfId="19" priority="16" operator="equal">
      <formula>0</formula>
    </cfRule>
    <cfRule type="containsBlanks" dxfId="18" priority="17">
      <formula>LEN(TRIM(B25))=0</formula>
    </cfRule>
  </conditionalFormatting>
  <conditionalFormatting sqref="G80:I83 L80:N83">
    <cfRule type="containsErrors" dxfId="17" priority="12">
      <formula>ISERROR(G80)</formula>
    </cfRule>
    <cfRule type="containsBlanks" dxfId="16" priority="13">
      <formula>LEN(TRIM(G80))=0</formula>
    </cfRule>
    <cfRule type="cellIs" dxfId="15" priority="14" operator="equal">
      <formula>0</formula>
    </cfRule>
  </conditionalFormatting>
  <conditionalFormatting sqref="B46:D49 Q56:S59 B67:D70 Q67:S70 G94:I97 L94:N97">
    <cfRule type="cellIs" dxfId="14" priority="9" operator="equal">
      <formula>0</formula>
    </cfRule>
    <cfRule type="containsErrors" dxfId="13" priority="10">
      <formula>ISERROR(B46)</formula>
    </cfRule>
    <cfRule type="containsBlanks" dxfId="12" priority="11">
      <formula>LEN(TRIM(B46))=0</formula>
    </cfRule>
  </conditionalFormatting>
  <conditionalFormatting sqref="Q36:S39">
    <cfRule type="cellIs" dxfId="11" priority="6" operator="equal">
      <formula>0</formula>
    </cfRule>
    <cfRule type="containsErrors" dxfId="10" priority="7">
      <formula>ISERROR(Q36)</formula>
    </cfRule>
    <cfRule type="containsBlanks" dxfId="9" priority="8">
      <formula>LEN(TRIM(Q36))=0</formula>
    </cfRule>
  </conditionalFormatting>
  <conditionalFormatting sqref="D8:D12 G8:G12 N8:N12 Q8:Q12 N18:N22 Q18:Q22 G18:G22 D18:D22 D29:D33 G29:G33 D40:D44 G40:G44 N29:N33 Q29:Q33 N40:N44">
    <cfRule type="cellIs" dxfId="8" priority="30" stopIfTrue="1" operator="greaterThanOrEqual">
      <formula>2</formula>
    </cfRule>
  </conditionalFormatting>
  <conditionalFormatting sqref="Q40:Q44">
    <cfRule type="cellIs" dxfId="7" priority="5" operator="greaterThanOrEqual">
      <formula>2</formula>
    </cfRule>
  </conditionalFormatting>
  <conditionalFormatting sqref="D50:D54 G50:G54 N50:N54 Q50:Q54 D60:D64 G60:G64 N60:N64 Q60:Q64">
    <cfRule type="cellIs" dxfId="6" priority="4" operator="greaterThanOrEqual">
      <formula>2</formula>
    </cfRule>
  </conditionalFormatting>
  <conditionalFormatting sqref="D71:D77 G71:G77 N71:N77 Q71:Q77">
    <cfRule type="cellIs" dxfId="5" priority="3" operator="greaterThanOrEqual">
      <formula>2</formula>
    </cfRule>
  </conditionalFormatting>
  <conditionalFormatting sqref="I84:I90 L84:L90">
    <cfRule type="cellIs" dxfId="4" priority="2" operator="greaterThanOrEqual">
      <formula>2</formula>
    </cfRule>
  </conditionalFormatting>
  <conditionalFormatting sqref="I98:I104 L98:L104">
    <cfRule type="cellIs" dxfId="3" priority="1" operator="greaterThanOrEqual">
      <formula>2</formula>
    </cfRule>
  </conditionalFormatting>
  <printOptions horizontalCentered="1" verticalCentered="1"/>
  <pageMargins left="0" right="0" top="0" bottom="0" header="0.19685039370078741" footer="0.19685039370078741"/>
  <pageSetup paperSize="9" scale="31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1">
    <pageSetUpPr fitToPage="1"/>
  </sheetPr>
  <dimension ref="A1:R159"/>
  <sheetViews>
    <sheetView showGridLines="0" tabSelected="1" zoomScale="80" zoomScaleNormal="80" zoomScaleSheetLayoutView="80" zoomScalePageLayoutView="80" workbookViewId="0">
      <selection activeCell="C16" sqref="C16"/>
    </sheetView>
  </sheetViews>
  <sheetFormatPr baseColWidth="10" defaultColWidth="10.625" defaultRowHeight="15.75" outlineLevelCol="1" x14ac:dyDescent="0.2"/>
  <cols>
    <col min="1" max="1" width="10.625" style="97"/>
    <col min="2" max="2" width="50.625" style="97" customWidth="1"/>
    <col min="3" max="3" width="50.625" style="97" customWidth="1" outlineLevel="1"/>
    <col min="4" max="4" width="20.625" style="97" customWidth="1"/>
    <col min="5" max="5" width="12.5" style="97" customWidth="1"/>
    <col min="6" max="6" width="6" style="97" hidden="1" customWidth="1"/>
    <col min="7" max="7" width="5.625" style="97" customWidth="1"/>
    <col min="8" max="8" width="8.625" style="97" customWidth="1"/>
    <col min="9" max="9" width="2.875" style="97" customWidth="1"/>
    <col min="10" max="10" width="15.5" style="97" hidden="1" customWidth="1" outlineLevel="1"/>
    <col min="11" max="11" width="18.5" style="97" hidden="1" customWidth="1" outlineLevel="1"/>
    <col min="12" max="12" width="31.875" style="97" hidden="1" customWidth="1" outlineLevel="1"/>
    <col min="13" max="13" width="13.375" style="97" hidden="1" customWidth="1" outlineLevel="1"/>
    <col min="14" max="14" width="10.625" style="97" collapsed="1"/>
    <col min="15" max="15" width="10.625" style="97"/>
    <col min="16" max="16" width="2.5" style="97" customWidth="1"/>
    <col min="17" max="16384" width="10.625" style="97"/>
  </cols>
  <sheetData>
    <row r="1" spans="1:18" ht="30" customHeight="1" x14ac:dyDescent="0.2">
      <c r="A1" s="279" t="str">
        <f>CONCATENATE("PALMARES ",INFO!C6,"
","CHAMPIONNAT DE FRANCE DES CLUBS
ECOLE DE TIR")</f>
        <v>PALMARES 
CHAMPIONNAT DE FRANCE DES CLUBS
ECOLE DE TIR</v>
      </c>
      <c r="B1" s="279"/>
      <c r="C1" s="279"/>
      <c r="D1" s="279"/>
      <c r="E1" s="279"/>
      <c r="F1" s="279"/>
      <c r="G1" s="279"/>
      <c r="H1" s="279"/>
      <c r="I1" s="95"/>
      <c r="J1" s="95"/>
      <c r="K1" s="95"/>
      <c r="L1" s="95"/>
      <c r="M1" s="96"/>
      <c r="N1" s="96"/>
      <c r="O1" s="96"/>
    </row>
    <row r="2" spans="1:18" ht="39.950000000000003" customHeight="1" x14ac:dyDescent="0.2">
      <c r="A2" s="279"/>
      <c r="B2" s="279"/>
      <c r="C2" s="279"/>
      <c r="D2" s="279"/>
      <c r="E2" s="279"/>
      <c r="F2" s="279"/>
      <c r="G2" s="279"/>
      <c r="H2" s="279"/>
      <c r="I2" s="95"/>
      <c r="J2" s="95"/>
      <c r="K2" s="95"/>
      <c r="L2" s="95"/>
      <c r="M2" s="96"/>
      <c r="N2" s="96"/>
      <c r="O2" s="96"/>
      <c r="P2" s="98"/>
      <c r="Q2" s="98"/>
    </row>
    <row r="3" spans="1:18" ht="39.950000000000003" customHeight="1" x14ac:dyDescent="0.2">
      <c r="A3" s="280"/>
      <c r="B3" s="280"/>
      <c r="C3" s="280"/>
      <c r="D3" s="280"/>
      <c r="E3" s="280"/>
      <c r="F3" s="280"/>
      <c r="G3" s="280"/>
      <c r="H3" s="280"/>
      <c r="I3" s="95"/>
      <c r="J3" s="95"/>
      <c r="K3" s="95"/>
      <c r="L3" s="95"/>
      <c r="M3" s="96"/>
      <c r="N3" s="96"/>
      <c r="O3" s="96"/>
      <c r="P3" s="98"/>
      <c r="Q3" s="98"/>
    </row>
    <row r="4" spans="1:18" s="101" customFormat="1" ht="60" customHeight="1" x14ac:dyDescent="0.2">
      <c r="A4" s="281" t="str">
        <f>CONCATENATE(INFO!B7," - ",INFO!B9)</f>
        <v>Pistolet - Ile de France</v>
      </c>
      <c r="B4" s="281"/>
      <c r="C4" s="281"/>
      <c r="D4" s="281"/>
      <c r="E4" s="281"/>
      <c r="F4" s="281"/>
      <c r="G4" s="281"/>
      <c r="H4" s="281"/>
      <c r="I4" s="99"/>
      <c r="J4" s="99"/>
      <c r="K4" s="99"/>
      <c r="L4" s="99"/>
      <c r="M4" s="96"/>
      <c r="N4" s="100"/>
      <c r="O4" s="100"/>
      <c r="Q4" s="102"/>
      <c r="R4" s="102"/>
    </row>
    <row r="5" spans="1:18" s="101" customFormat="1" ht="39.950000000000003" customHeight="1" x14ac:dyDescent="0.2">
      <c r="A5" s="94"/>
      <c r="B5" s="94"/>
      <c r="C5" s="94"/>
      <c r="D5" s="94"/>
      <c r="E5" s="94"/>
      <c r="F5" s="94"/>
      <c r="G5" s="94"/>
      <c r="H5" s="94"/>
      <c r="I5" s="99"/>
      <c r="J5" s="99"/>
      <c r="K5" s="99"/>
      <c r="L5" s="99"/>
      <c r="M5" s="96"/>
      <c r="N5" s="100"/>
      <c r="O5" s="100"/>
      <c r="Q5" s="102"/>
      <c r="R5" s="102"/>
    </row>
    <row r="6" spans="1:18" s="101" customFormat="1" ht="39.950000000000003" customHeight="1" x14ac:dyDescent="0.2">
      <c r="A6" s="49" t="s">
        <v>39</v>
      </c>
      <c r="B6" s="47" t="s">
        <v>40</v>
      </c>
      <c r="C6" s="47" t="s">
        <v>63</v>
      </c>
      <c r="D6" s="47" t="s">
        <v>20</v>
      </c>
      <c r="E6" s="48" t="s">
        <v>41</v>
      </c>
      <c r="F6" s="60" t="s">
        <v>9</v>
      </c>
      <c r="G6" s="23"/>
      <c r="H6" s="22"/>
      <c r="L6" s="103"/>
      <c r="M6" s="104"/>
      <c r="N6" s="100"/>
      <c r="O6" s="100"/>
      <c r="Q6" s="102"/>
      <c r="R6" s="102"/>
    </row>
    <row r="7" spans="1:18" s="100" customFormat="1" ht="26.1" customHeight="1" x14ac:dyDescent="0.2">
      <c r="A7" s="54">
        <v>1</v>
      </c>
      <c r="B7" s="55" t="str">
        <f>IF(A7="","",IF('P.F.'!G98&gt;3,'P.F.'!G94,IF('P.F.'!M98&gt;3,'P.F.'!L94,"")))</f>
        <v>Amicale des Tireurs de Buc</v>
      </c>
      <c r="C7" s="55"/>
      <c r="D7" s="57" t="str">
        <f>IF(A7="","",VLOOKUP(B7,'M Q'!B$5:T$20,2,0))</f>
        <v>10.78.084</v>
      </c>
      <c r="E7" s="182">
        <f>IF(A7="","",VLOOKUP(B7,'M Q'!B$5:T$20,18,0))</f>
        <v>420</v>
      </c>
      <c r="F7" s="75">
        <f>IF(A7="","",VLOOKUP(B7,'M Q'!B$5:T$20,19,0))</f>
        <v>0</v>
      </c>
      <c r="G7" s="283" t="s">
        <v>19</v>
      </c>
      <c r="H7" s="19"/>
      <c r="I7" s="104"/>
      <c r="J7" s="104"/>
      <c r="K7" s="104"/>
    </row>
    <row r="8" spans="1:18" s="100" customFormat="1" ht="26.1" customHeight="1" x14ac:dyDescent="0.2">
      <c r="A8" s="54">
        <f>IF(INFO!B8&gt;1,2,"")</f>
        <v>2</v>
      </c>
      <c r="B8" s="55" t="str">
        <f>IF(A8="","",IF('P.F.'!G98&gt;3,'P.F.'!L94,IF('P.F.'!M98&gt;3,'P.F.'!G94,"")))</f>
        <v>Tir National de Versailles</v>
      </c>
      <c r="C8" s="55"/>
      <c r="D8" s="57" t="str">
        <f>IF(A8="","",VLOOKUP(B8,'M Q'!B$5:T$20,2,0))</f>
        <v>10.78.003</v>
      </c>
      <c r="E8" s="182">
        <f>IF(A8="","",VLOOKUP(B8,'M Q'!B$5:T$20,18,0))</f>
        <v>346</v>
      </c>
      <c r="F8" s="75">
        <f>IF(A8="","",VLOOKUP(B8,'M Q'!B$5:T$20,19,0))</f>
        <v>0</v>
      </c>
      <c r="G8" s="283"/>
      <c r="H8" s="19"/>
    </row>
    <row r="9" spans="1:18" s="100" customFormat="1" ht="26.1" customHeight="1" x14ac:dyDescent="0.2">
      <c r="A9" s="54" t="str">
        <f>IF(INFO!B8&gt;2,3,"")</f>
        <v/>
      </c>
      <c r="B9" s="56" t="str">
        <f>IF(A9="","",IF(INFO!B8=3,'P.F.'!L80,IF('P.F.'!G84&gt;3,'P.F.'!G80,IF('P.F.'!M84&gt;3,'P.F.'!L80,""))))</f>
        <v/>
      </c>
      <c r="C9" s="56"/>
      <c r="D9" s="57" t="str">
        <f>IF(A9="","",VLOOKUP(B9,'M Q'!B$5:T$20,2,0))</f>
        <v/>
      </c>
      <c r="E9" s="182" t="str">
        <f>IF(A9="","",VLOOKUP(B9,'M Q'!B$5:T$20,18,0))</f>
        <v/>
      </c>
      <c r="F9" s="75" t="str">
        <f>IF(A9="","",VLOOKUP(B9,'M Q'!B$5:T$20,19,0))</f>
        <v/>
      </c>
      <c r="G9" s="283" t="s">
        <v>21</v>
      </c>
      <c r="H9" s="20"/>
    </row>
    <row r="10" spans="1:18" s="100" customFormat="1" ht="26.1" customHeight="1" x14ac:dyDescent="0.2">
      <c r="A10" s="50" t="str">
        <f>IF(INFO!B8&gt;3,4,"")</f>
        <v/>
      </c>
      <c r="B10" s="24" t="str">
        <f>IF(A10="","",IF('P.F.'!G84&gt;3,'P.F.'!L80,IF('P.F.'!M84&gt;3,'P.F.'!G80,"")))</f>
        <v/>
      </c>
      <c r="C10" s="24"/>
      <c r="D10" s="57" t="str">
        <f>IF(A10="","",VLOOKUP(B10,'M Q'!B$5:T$20,2,0))</f>
        <v/>
      </c>
      <c r="E10" s="182" t="str">
        <f>IF(A10="","",VLOOKUP(B10,'M Q'!B$5:T$20,18,0))</f>
        <v/>
      </c>
      <c r="F10" s="75" t="str">
        <f>IF(A10="","",VLOOKUP(B10,'M Q'!B$5:T$20,19,0))</f>
        <v/>
      </c>
      <c r="G10" s="283"/>
      <c r="H10" s="20"/>
      <c r="J10" s="287" t="s">
        <v>15</v>
      </c>
      <c r="K10" s="287"/>
      <c r="L10" s="287"/>
      <c r="M10" s="287"/>
    </row>
    <row r="11" spans="1:18" s="100" customFormat="1" ht="26.1" customHeight="1" x14ac:dyDescent="0.2">
      <c r="A11" s="50" t="str">
        <f>IF(INFO!B8&gt;4,5,"")</f>
        <v/>
      </c>
      <c r="B11" s="24" t="str">
        <f>IF(A11="","",VLOOKUP(E11,J$11:M$14,3,0))</f>
        <v/>
      </c>
      <c r="C11" s="24"/>
      <c r="D11" s="58" t="str">
        <f>IF(A11="","",VLOOKUP(E11,J$11:M$14,4,0))</f>
        <v/>
      </c>
      <c r="E11" s="183" t="str">
        <f>IF(A11="","",LARGE(J$11:J$14,1))</f>
        <v/>
      </c>
      <c r="F11" s="76" t="str">
        <f>IF(A11="","",VLOOKUP(E11,J$11:M$14,2,0))</f>
        <v/>
      </c>
      <c r="G11" s="282" t="s">
        <v>22</v>
      </c>
      <c r="H11" s="18"/>
      <c r="J11" s="173">
        <f>IF(L11=0,0,VLOOKUP(L11,saisie!C$5:W$44,21,0))</f>
        <v>0</v>
      </c>
      <c r="K11" s="106" t="e">
        <f>VLOOKUP(L11,saisie!C$5:W$44,19,0)</f>
        <v>#N/A</v>
      </c>
      <c r="L11" s="106">
        <f>IF('P.F.'!D50="",0,IF('P.F.'!B50&gt;2,'P.F.'!G46,IF('P.F.'!H50&gt;2,'P.F.'!B46,"")))</f>
        <v>0</v>
      </c>
      <c r="M11" s="107" t="e">
        <f>VLOOKUP(L11,saisie!C$5:W$44,2,0)</f>
        <v>#N/A</v>
      </c>
    </row>
    <row r="12" spans="1:18" s="100" customFormat="1" ht="26.1" customHeight="1" x14ac:dyDescent="0.2">
      <c r="A12" s="50" t="str">
        <f>IF(INFO!B8&gt;5,6,"")</f>
        <v/>
      </c>
      <c r="B12" s="24" t="str">
        <f>IF(A12="","",VLOOKUP(E12,J$11:M$14,3,0))</f>
        <v/>
      </c>
      <c r="C12" s="24"/>
      <c r="D12" s="58" t="str">
        <f>IF(A12="","",VLOOKUP(E12,J$11:M$14,4,0))</f>
        <v/>
      </c>
      <c r="E12" s="183" t="str">
        <f>IF(A12="","",LARGE(J$11:J$14,2))</f>
        <v/>
      </c>
      <c r="F12" s="76" t="str">
        <f>IF(A12="","",VLOOKUP(E12,J$11:M$14,2,0))</f>
        <v/>
      </c>
      <c r="G12" s="282"/>
      <c r="H12" s="18"/>
      <c r="J12" s="173">
        <f>IF(L12=0,0,VLOOKUP(L12,saisie!C$5:W$44,21,0))</f>
        <v>0</v>
      </c>
      <c r="K12" s="106" t="e">
        <f>VLOOKUP(L12,saisie!C$5:W$44,19,0)</f>
        <v>#N/A</v>
      </c>
      <c r="L12" s="106">
        <f>IF('P.F.'!Q50="",0,IF('P.F.'!L50&gt;2,'P.F.'!Q46,IF('P.F.'!R50&gt;2,'P.F.'!L46,"")))</f>
        <v>0</v>
      </c>
      <c r="M12" s="107" t="e">
        <f>VLOOKUP(L12,saisie!C$5:W$44,2,0)</f>
        <v>#N/A</v>
      </c>
    </row>
    <row r="13" spans="1:18" s="100" customFormat="1" ht="26.1" customHeight="1" x14ac:dyDescent="0.2">
      <c r="A13" s="50" t="str">
        <f>IF(INFO!B8&gt;6,7,"")</f>
        <v/>
      </c>
      <c r="B13" s="24" t="str">
        <f>IF(A13="","",VLOOKUP(E13,J$11:M$14,3,0))</f>
        <v/>
      </c>
      <c r="C13" s="24"/>
      <c r="D13" s="58" t="str">
        <f>IF(A13="","",VLOOKUP(E13,J$11:M$14,4,0))</f>
        <v/>
      </c>
      <c r="E13" s="183" t="str">
        <f>IF(A13="","",LARGE(J$11:J$14,3))</f>
        <v/>
      </c>
      <c r="F13" s="76" t="str">
        <f>IF(A13="","",VLOOKUP(E13,J$11:M$14,2,0))</f>
        <v/>
      </c>
      <c r="G13" s="282"/>
      <c r="H13" s="18"/>
      <c r="J13" s="173" t="e">
        <f>VLOOKUP(L13,saisie!C$5:W$44,21,0)</f>
        <v>#N/A</v>
      </c>
      <c r="K13" s="106" t="e">
        <f>VLOOKUP(L13,saisie!C$5:W$44,19,0)</f>
        <v>#N/A</v>
      </c>
      <c r="L13" s="106">
        <f>IF('P.F.'!D60="",0,IF('P.F.'!H60&gt;2,'P.F.'!B56,IF('P.F.'!B60&gt;2,'P.F.'!G56,"")))</f>
        <v>0</v>
      </c>
      <c r="M13" s="107" t="e">
        <f>VLOOKUP(L13,saisie!C$5:W$44,2,0)</f>
        <v>#N/A</v>
      </c>
      <c r="N13" s="105"/>
      <c r="O13" s="105"/>
    </row>
    <row r="14" spans="1:18" s="100" customFormat="1" ht="26.1" customHeight="1" x14ac:dyDescent="0.2">
      <c r="A14" s="50" t="str">
        <f>IF(INFO!B8&gt;7,8,"")</f>
        <v/>
      </c>
      <c r="B14" s="24" t="str">
        <f>IF(A14="","",VLOOKUP(E14,J$11:M$14,3,0))</f>
        <v/>
      </c>
      <c r="C14" s="24"/>
      <c r="D14" s="58" t="str">
        <f>IF(A14="","",VLOOKUP(E14,J$11:M$14,4,0))</f>
        <v/>
      </c>
      <c r="E14" s="183" t="str">
        <f>IF(A14="","",LARGE(J$11:J$14,4))</f>
        <v/>
      </c>
      <c r="F14" s="76" t="str">
        <f>IF(A14="","",VLOOKUP(E14,J$11:M$14,2,0))</f>
        <v/>
      </c>
      <c r="G14" s="282"/>
      <c r="H14" s="18"/>
      <c r="J14" s="173">
        <f>IF(L14=0,0,VLOOKUP(L14,saisie!C$5:W$44,21,0))</f>
        <v>0</v>
      </c>
      <c r="K14" s="106" t="e">
        <f>VLOOKUP(L14,saisie!C$5:W$44,19,0)</f>
        <v>#N/A</v>
      </c>
      <c r="L14" s="106">
        <f>IF('P.F.'!Q60="",0,IF('P.F.'!R60&gt;2,'P.F.'!L56,IF('P.F.'!L60&gt;2,'P.F.'!Q56,"")))</f>
        <v>0</v>
      </c>
      <c r="M14" s="107" t="e">
        <f>VLOOKUP(L14,saisie!C$5:W$44,2,0)</f>
        <v>#N/A</v>
      </c>
      <c r="N14" s="105"/>
      <c r="O14" s="105"/>
      <c r="P14" s="105"/>
    </row>
    <row r="15" spans="1:18" s="100" customFormat="1" ht="26.1" customHeight="1" x14ac:dyDescent="0.2">
      <c r="A15" s="50" t="str">
        <f>IF(INFO!B8&gt;8,9,"")</f>
        <v/>
      </c>
      <c r="B15" s="24" t="str">
        <f>IF(A15="","",VLOOKUP(E15,J$15:M$22,3,0))</f>
        <v/>
      </c>
      <c r="C15" s="24"/>
      <c r="D15" s="58" t="str">
        <f>IF(A15="","",VLOOKUP(E15,J$15:M$22,4,0))</f>
        <v/>
      </c>
      <c r="E15" s="183" t="str">
        <f>IF(A15="","",LARGE(J$15:J$22,1))</f>
        <v/>
      </c>
      <c r="F15" s="77" t="str">
        <f>IF(A15="","",VLOOKUP(E15,J$15:M$22,2,0))</f>
        <v/>
      </c>
      <c r="G15" s="284" t="s">
        <v>61</v>
      </c>
      <c r="H15" s="18"/>
      <c r="J15" s="173">
        <f>IF(L15="",0,VLOOKUP(L15,saisie!C$5:W$44,21,0))</f>
        <v>0</v>
      </c>
      <c r="K15" s="106" t="e">
        <f>VLOOKUP(L15,saisie!C$5:W$44,19,0)</f>
        <v>#N/A</v>
      </c>
      <c r="L15" s="106" t="str">
        <f>IF('P.F.'!D8="","",IF('P.F.'!B8&gt;2,'P.F.'!G4,IF('P.F.'!H8&gt;2,'P.F.'!B4,"")))</f>
        <v/>
      </c>
      <c r="M15" s="107" t="e">
        <f>VLOOKUP(L15,saisie!C$5:W$44,2,0)</f>
        <v>#N/A</v>
      </c>
      <c r="N15" s="105"/>
      <c r="O15" s="105"/>
      <c r="P15" s="105"/>
    </row>
    <row r="16" spans="1:18" s="100" customFormat="1" ht="26.1" customHeight="1" x14ac:dyDescent="0.2">
      <c r="A16" s="50" t="str">
        <f>IF(INFO!B8&gt;9,10,"")</f>
        <v/>
      </c>
      <c r="B16" s="24" t="str">
        <f t="shared" ref="B16:B22" si="0">IF(A16="","",VLOOKUP(E16,J$15:M$22,3,0))</f>
        <v/>
      </c>
      <c r="C16" s="24"/>
      <c r="D16" s="58" t="str">
        <f t="shared" ref="D16:D22" si="1">IF(A16="","",VLOOKUP(E16,J$15:M$22,4,0))</f>
        <v/>
      </c>
      <c r="E16" s="183" t="str">
        <f>IF(A16="","",LARGE(J$15:J$22,2))</f>
        <v/>
      </c>
      <c r="F16" s="77" t="str">
        <f t="shared" ref="F16:F22" si="2">IF(A16="","",VLOOKUP(E16,J$15:M$22,2,0))</f>
        <v/>
      </c>
      <c r="G16" s="285"/>
      <c r="H16" s="18"/>
      <c r="J16" s="173">
        <f>IF(L16="",0,VLOOKUP(L16,saisie!C$5:W$44,21,0))</f>
        <v>0</v>
      </c>
      <c r="K16" s="106" t="e">
        <f>VLOOKUP(L16,saisie!C$5:W$44,19,0)</f>
        <v>#N/A</v>
      </c>
      <c r="L16" s="107" t="str">
        <f>IF('P.F.'!N8="","",IF('P.F.'!L8&gt;2,'P.F.'!Q4,IF('P.F.'!R8&gt;2,'P.F.'!L4,"")))</f>
        <v/>
      </c>
      <c r="M16" s="107" t="e">
        <f>VLOOKUP(L16,saisie!C$5:W$44,2,0)</f>
        <v>#N/A</v>
      </c>
      <c r="N16" s="108"/>
      <c r="O16" s="102"/>
      <c r="P16" s="105"/>
    </row>
    <row r="17" spans="1:16" s="100" customFormat="1" ht="26.1" customHeight="1" x14ac:dyDescent="0.2">
      <c r="A17" s="50" t="str">
        <f>IF(INFO!B8&gt;10,11,"")</f>
        <v/>
      </c>
      <c r="B17" s="24" t="str">
        <f t="shared" si="0"/>
        <v/>
      </c>
      <c r="C17" s="24"/>
      <c r="D17" s="58" t="str">
        <f t="shared" si="1"/>
        <v/>
      </c>
      <c r="E17" s="183" t="str">
        <f>IF(A17="","",LARGE(J$15:J$22,3))</f>
        <v/>
      </c>
      <c r="F17" s="77" t="str">
        <f t="shared" si="2"/>
        <v/>
      </c>
      <c r="G17" s="285"/>
      <c r="H17" s="18"/>
      <c r="J17" s="173">
        <f>IF(L17="",0,VLOOKUP(L17,saisie!C$5:W$44,21,0))</f>
        <v>0</v>
      </c>
      <c r="K17" s="106" t="e">
        <f>VLOOKUP(L17,saisie!C$5:W$44,19,0)</f>
        <v>#N/A</v>
      </c>
      <c r="L17" s="107" t="str">
        <f>IF('P.F.'!G18="","",IF('P.F.'!H18&gt;2,'P.F.'!B14,IF('P.F.'!B18&gt;2,'P.F.'!G14,"")))</f>
        <v/>
      </c>
      <c r="M17" s="107" t="e">
        <f>VLOOKUP(L17,saisie!C$5:W$44,2,0)</f>
        <v>#N/A</v>
      </c>
      <c r="N17" s="108"/>
      <c r="O17" s="102"/>
      <c r="P17" s="105"/>
    </row>
    <row r="18" spans="1:16" s="100" customFormat="1" ht="26.1" customHeight="1" x14ac:dyDescent="0.2">
      <c r="A18" s="50" t="str">
        <f>IF(INFO!B8&gt;11,12,"")</f>
        <v/>
      </c>
      <c r="B18" s="24" t="str">
        <f t="shared" si="0"/>
        <v/>
      </c>
      <c r="C18" s="24"/>
      <c r="D18" s="58" t="str">
        <f t="shared" si="1"/>
        <v/>
      </c>
      <c r="E18" s="183" t="str">
        <f>IF(A18="","",LARGE(J$15:J$22,4))</f>
        <v/>
      </c>
      <c r="F18" s="77" t="str">
        <f t="shared" si="2"/>
        <v/>
      </c>
      <c r="G18" s="285"/>
      <c r="H18" s="18"/>
      <c r="J18" s="173">
        <f>IF(L18="",0,VLOOKUP(L18,saisie!C$5:W$44,21,0))</f>
        <v>0</v>
      </c>
      <c r="K18" s="106" t="e">
        <f>VLOOKUP(L18,saisie!C$5:W$44,19,0)</f>
        <v>#N/A</v>
      </c>
      <c r="L18" s="107" t="str">
        <f>IF('P.F.'!Q18="","",IF('P.F.'!R18&gt;2,'P.F.'!L14,IF('P.F.'!L18&gt;2,'P.F.'!Q14,"")))</f>
        <v/>
      </c>
      <c r="M18" s="107" t="e">
        <f>VLOOKUP(L18,saisie!C$5:W$44,2,0)</f>
        <v>#N/A</v>
      </c>
      <c r="N18" s="108"/>
      <c r="O18" s="105"/>
      <c r="P18" s="105"/>
    </row>
    <row r="19" spans="1:16" s="100" customFormat="1" ht="26.1" customHeight="1" x14ac:dyDescent="0.2">
      <c r="A19" s="50" t="str">
        <f>IF(INFO!B8&gt;12,13,"")</f>
        <v/>
      </c>
      <c r="B19" s="24" t="str">
        <f t="shared" si="0"/>
        <v/>
      </c>
      <c r="C19" s="24"/>
      <c r="D19" s="58" t="str">
        <f t="shared" si="1"/>
        <v/>
      </c>
      <c r="E19" s="183" t="str">
        <f>IF(A19="","",LARGE(J$15:J$22,5))</f>
        <v/>
      </c>
      <c r="F19" s="77" t="str">
        <f t="shared" si="2"/>
        <v/>
      </c>
      <c r="G19" s="285"/>
      <c r="H19" s="18"/>
      <c r="J19" s="173">
        <f>IF(L19="",0,VLOOKUP(L19,saisie!C$5:W$44,21,0))</f>
        <v>0</v>
      </c>
      <c r="K19" s="106" t="e">
        <f>VLOOKUP(L19,saisie!C$5:W$44,19,0)</f>
        <v>#N/A</v>
      </c>
      <c r="L19" s="107" t="str">
        <f>IF('P.F.'!D29="","",IF('P.F.'!B29&gt;2,'P.F.'!G25,IF('P.F.'!H29&gt;2,'P.F.'!B25,"")))</f>
        <v/>
      </c>
      <c r="M19" s="107" t="e">
        <f>VLOOKUP(L19,saisie!C$5:W$44,2,0)</f>
        <v>#N/A</v>
      </c>
      <c r="N19" s="108"/>
      <c r="O19" s="105"/>
      <c r="P19" s="105"/>
    </row>
    <row r="20" spans="1:16" s="100" customFormat="1" ht="26.1" customHeight="1" x14ac:dyDescent="0.2">
      <c r="A20" s="50" t="str">
        <f>IF(INFO!B8&gt;13,14,"")</f>
        <v/>
      </c>
      <c r="B20" s="24" t="str">
        <f t="shared" si="0"/>
        <v/>
      </c>
      <c r="C20" s="24"/>
      <c r="D20" s="58" t="str">
        <f t="shared" si="1"/>
        <v/>
      </c>
      <c r="E20" s="183" t="str">
        <f>IF(A20="","",LARGE(J$15:J$22,6))</f>
        <v/>
      </c>
      <c r="F20" s="77" t="str">
        <f t="shared" si="2"/>
        <v/>
      </c>
      <c r="G20" s="285"/>
      <c r="H20" s="18"/>
      <c r="J20" s="173">
        <f>IF(L20="",0,VLOOKUP(L20,saisie!C$5:W$44,21,0))</f>
        <v>0</v>
      </c>
      <c r="K20" s="106" t="e">
        <f>VLOOKUP(L20,saisie!C$5:W$44,19,0)</f>
        <v>#N/A</v>
      </c>
      <c r="L20" s="107" t="str">
        <f>IF('P.F.'!N29="","",IF('P.F.'!L29&gt;2,'P.F.'!Q25,IF('P.F.'!R29&gt;2,'P.F.'!L25,"")))</f>
        <v/>
      </c>
      <c r="M20" s="107" t="e">
        <f>VLOOKUP(L20,saisie!C$5:W$44,2,0)</f>
        <v>#N/A</v>
      </c>
      <c r="N20" s="108"/>
      <c r="O20" s="105"/>
      <c r="P20" s="105"/>
    </row>
    <row r="21" spans="1:16" s="100" customFormat="1" ht="26.1" customHeight="1" x14ac:dyDescent="0.2">
      <c r="A21" s="50" t="str">
        <f>IF(INFO!B8&gt;14,15,"")</f>
        <v/>
      </c>
      <c r="B21" s="24" t="str">
        <f t="shared" si="0"/>
        <v/>
      </c>
      <c r="C21" s="24"/>
      <c r="D21" s="58" t="str">
        <f t="shared" si="1"/>
        <v/>
      </c>
      <c r="E21" s="183" t="str">
        <f>IF(A21="","",LARGE(J$15:J$22,7))</f>
        <v/>
      </c>
      <c r="F21" s="77" t="str">
        <f t="shared" si="2"/>
        <v/>
      </c>
      <c r="G21" s="285"/>
      <c r="H21" s="18"/>
      <c r="J21" s="173">
        <f>IF(L21="",0,VLOOKUP(L21,saisie!C$5:W$44,21,0))</f>
        <v>0</v>
      </c>
      <c r="K21" s="106" t="e">
        <f>VLOOKUP(L21,saisie!C$5:W$44,19,0)</f>
        <v>#N/A</v>
      </c>
      <c r="L21" s="106" t="str">
        <f>IF('P.F.'!G40="","",IF('P.F.'!H40&gt;2,'P.F.'!B36,IF('P.F.'!B40&gt;2,'P.F.'!G36,"")))</f>
        <v/>
      </c>
      <c r="M21" s="107" t="e">
        <f>VLOOKUP(L21,saisie!C$5:W$44,2,0)</f>
        <v>#N/A</v>
      </c>
      <c r="N21" s="105"/>
      <c r="O21" s="105"/>
      <c r="P21" s="105"/>
    </row>
    <row r="22" spans="1:16" s="100" customFormat="1" ht="26.1" customHeight="1" x14ac:dyDescent="0.2">
      <c r="A22" s="50" t="str">
        <f>IF(INFO!B8&gt;15,16,"")</f>
        <v/>
      </c>
      <c r="B22" s="24" t="str">
        <f t="shared" si="0"/>
        <v/>
      </c>
      <c r="C22" s="24"/>
      <c r="D22" s="58" t="str">
        <f t="shared" si="1"/>
        <v/>
      </c>
      <c r="E22" s="183" t="str">
        <f>IF(A22="","",LARGE(J$15:J$22,8))</f>
        <v/>
      </c>
      <c r="F22" s="77" t="str">
        <f t="shared" si="2"/>
        <v/>
      </c>
      <c r="G22" s="286"/>
      <c r="H22" s="18"/>
      <c r="J22" s="173">
        <f>IF(L22="",0,VLOOKUP(L22,saisie!C$5:W$44,21,0))</f>
        <v>0</v>
      </c>
      <c r="K22" s="106" t="e">
        <f>VLOOKUP(L22,saisie!C$5:W$44,19,0)</f>
        <v>#N/A</v>
      </c>
      <c r="L22" s="106" t="str">
        <f>IF('P.F.'!Q40="","",IF('P.F.'!R40&gt;2,'P.F.'!L36,IF('P.F.'!L40&gt;2,'P.F.'!Q36,"")))</f>
        <v/>
      </c>
      <c r="M22" s="107" t="e">
        <f>VLOOKUP(L22,saisie!C$5:W$44,2,0)</f>
        <v>#N/A</v>
      </c>
      <c r="N22" s="105"/>
      <c r="O22" s="105"/>
      <c r="P22" s="105"/>
    </row>
    <row r="23" spans="1:16" s="100" customFormat="1" ht="26.1" customHeight="1" x14ac:dyDescent="0.2">
      <c r="A23" s="50" t="str">
        <f>IF(INFO!B8&gt;16,17,"")</f>
        <v/>
      </c>
      <c r="B23" s="24" t="str">
        <f>IF(A23="","",'M Q'!B21)</f>
        <v/>
      </c>
      <c r="C23" s="24"/>
      <c r="D23" s="58" t="str">
        <f>IF(A23="","",'M Q'!C21)</f>
        <v/>
      </c>
      <c r="E23" s="183" t="str">
        <f>IF(A23="","",'M Q'!S21)</f>
        <v/>
      </c>
      <c r="F23" s="59" t="str">
        <f>IF(A23="","",'M Q'!T21)</f>
        <v/>
      </c>
      <c r="G23" s="45"/>
      <c r="H23" s="18"/>
      <c r="J23" s="278" t="s">
        <v>62</v>
      </c>
      <c r="K23" s="278"/>
      <c r="L23" s="278"/>
      <c r="M23" s="278"/>
      <c r="N23" s="105"/>
      <c r="O23" s="105"/>
      <c r="P23" s="105"/>
    </row>
    <row r="24" spans="1:16" s="100" customFormat="1" ht="26.1" customHeight="1" x14ac:dyDescent="0.2">
      <c r="A24" s="50" t="str">
        <f>IF(INFO!B8&gt;17,18,"")</f>
        <v/>
      </c>
      <c r="B24" s="24" t="str">
        <f>IF(A24="","",'M Q'!B22)</f>
        <v/>
      </c>
      <c r="C24" s="24"/>
      <c r="D24" s="58" t="str">
        <f>IF(A24="","",'M Q'!C22)</f>
        <v/>
      </c>
      <c r="E24" s="183" t="str">
        <f>IF(A24="","",'M Q'!S22)</f>
        <v/>
      </c>
      <c r="F24" s="59" t="str">
        <f>IF(A24="","",'M Q'!T22)</f>
        <v/>
      </c>
      <c r="G24" s="45"/>
      <c r="H24" s="18"/>
      <c r="M24" s="104"/>
      <c r="N24" s="105"/>
      <c r="O24" s="105"/>
      <c r="P24" s="105"/>
    </row>
    <row r="25" spans="1:16" s="100" customFormat="1" ht="26.1" customHeight="1" x14ac:dyDescent="0.2">
      <c r="A25" s="50" t="str">
        <f>IF(INFO!B8&gt;18,19,"")</f>
        <v/>
      </c>
      <c r="B25" s="24" t="str">
        <f>IF(A25="","",'M Q'!B23)</f>
        <v/>
      </c>
      <c r="C25" s="24"/>
      <c r="D25" s="58" t="str">
        <f>IF(A25="","",'M Q'!C23)</f>
        <v/>
      </c>
      <c r="E25" s="183" t="str">
        <f>IF(A25="","",'M Q'!S23)</f>
        <v/>
      </c>
      <c r="F25" s="59" t="str">
        <f>IF(A25="","",'M Q'!T23)</f>
        <v/>
      </c>
      <c r="G25" s="45"/>
      <c r="H25" s="18"/>
      <c r="M25" s="104"/>
      <c r="N25" s="105"/>
      <c r="O25" s="105"/>
      <c r="P25" s="105"/>
    </row>
    <row r="26" spans="1:16" s="100" customFormat="1" ht="26.1" customHeight="1" x14ac:dyDescent="0.2">
      <c r="A26" s="50" t="str">
        <f>IF(INFO!B8&gt;19,20,"")</f>
        <v/>
      </c>
      <c r="B26" s="24" t="str">
        <f>IF(A26="","",'M Q'!B24)</f>
        <v/>
      </c>
      <c r="C26" s="24"/>
      <c r="D26" s="58" t="str">
        <f>IF(A26="","",'M Q'!C24)</f>
        <v/>
      </c>
      <c r="E26" s="183" t="str">
        <f>IF(A26="","",'M Q'!S24)</f>
        <v/>
      </c>
      <c r="F26" s="59" t="str">
        <f>IF(A26="","",'M Q'!T24)</f>
        <v/>
      </c>
      <c r="G26" s="45"/>
      <c r="H26" s="18"/>
      <c r="M26" s="104"/>
      <c r="N26" s="105"/>
      <c r="O26" s="105"/>
      <c r="P26" s="105"/>
    </row>
    <row r="27" spans="1:16" s="100" customFormat="1" ht="26.1" customHeight="1" x14ac:dyDescent="0.2">
      <c r="A27" s="50" t="str">
        <f>IF(INFO!B8&gt;20,21,"")</f>
        <v/>
      </c>
      <c r="B27" s="24" t="str">
        <f>IF(A27="","",'M Q'!B25)</f>
        <v/>
      </c>
      <c r="C27" s="24"/>
      <c r="D27" s="58" t="str">
        <f>IF(A27="","",'M Q'!C25)</f>
        <v/>
      </c>
      <c r="E27" s="183" t="str">
        <f>IF(A27="","",'M Q'!S25)</f>
        <v/>
      </c>
      <c r="F27" s="59" t="str">
        <f>IF(A27="","",'M Q'!T25)</f>
        <v/>
      </c>
      <c r="G27" s="45"/>
      <c r="H27" s="18"/>
      <c r="M27" s="104"/>
      <c r="N27" s="105"/>
      <c r="O27" s="105"/>
      <c r="P27" s="105"/>
    </row>
    <row r="28" spans="1:16" s="100" customFormat="1" ht="26.1" customHeight="1" x14ac:dyDescent="0.2">
      <c r="A28" s="50" t="str">
        <f>IF(INFO!B8&gt;21,22,"")</f>
        <v/>
      </c>
      <c r="B28" s="24" t="str">
        <f>IF(A28="","",'M Q'!B26)</f>
        <v/>
      </c>
      <c r="C28" s="24"/>
      <c r="D28" s="58" t="str">
        <f>IF(A28="","",'M Q'!C26)</f>
        <v/>
      </c>
      <c r="E28" s="183" t="str">
        <f>IF(A28="","",'M Q'!S26)</f>
        <v/>
      </c>
      <c r="F28" s="59" t="str">
        <f>IF(A28="","",'M Q'!T26)</f>
        <v/>
      </c>
      <c r="G28" s="45"/>
      <c r="H28" s="18"/>
      <c r="M28" s="104"/>
      <c r="N28" s="105"/>
      <c r="O28" s="105"/>
      <c r="P28" s="105"/>
    </row>
    <row r="29" spans="1:16" s="100" customFormat="1" ht="26.1" customHeight="1" x14ac:dyDescent="0.2">
      <c r="A29" s="50" t="str">
        <f>IF(INFO!B8&gt;22,23,"")</f>
        <v/>
      </c>
      <c r="B29" s="24" t="str">
        <f>IF(A29="","",'M Q'!B27)</f>
        <v/>
      </c>
      <c r="C29" s="24"/>
      <c r="D29" s="58" t="str">
        <f>IF(A29="","",'M Q'!C27)</f>
        <v/>
      </c>
      <c r="E29" s="183" t="str">
        <f>IF(A29="","",'M Q'!S27)</f>
        <v/>
      </c>
      <c r="F29" s="59" t="str">
        <f>IF(A29="","",'M Q'!T27)</f>
        <v/>
      </c>
      <c r="G29" s="45"/>
      <c r="H29" s="18"/>
      <c r="M29" s="104"/>
      <c r="N29" s="105"/>
      <c r="O29" s="105"/>
      <c r="P29" s="105"/>
    </row>
    <row r="30" spans="1:16" s="100" customFormat="1" ht="26.1" customHeight="1" x14ac:dyDescent="0.2">
      <c r="A30" s="50" t="str">
        <f>IF(INFO!B8&gt;23,24,"")</f>
        <v/>
      </c>
      <c r="B30" s="24" t="str">
        <f>IF(A30="","",'M Q'!B28)</f>
        <v/>
      </c>
      <c r="C30" s="24"/>
      <c r="D30" s="58" t="str">
        <f>IF(A30="","",'M Q'!C28)</f>
        <v/>
      </c>
      <c r="E30" s="183" t="str">
        <f>IF(A30="","",'M Q'!S28)</f>
        <v/>
      </c>
      <c r="F30" s="59" t="str">
        <f>IF(A30="","",'M Q'!T28)</f>
        <v/>
      </c>
      <c r="G30" s="45"/>
      <c r="H30" s="18"/>
      <c r="M30" s="104"/>
      <c r="N30" s="105"/>
      <c r="O30" s="105"/>
      <c r="P30" s="105"/>
    </row>
    <row r="31" spans="1:16" s="100" customFormat="1" ht="26.1" customHeight="1" x14ac:dyDescent="0.2">
      <c r="A31" s="50" t="str">
        <f>IF(INFO!B8&gt;24,25,"")</f>
        <v/>
      </c>
      <c r="B31" s="24" t="str">
        <f>IF(A31="","",'M Q'!B29)</f>
        <v/>
      </c>
      <c r="C31" s="24"/>
      <c r="D31" s="58" t="str">
        <f>IF(A31="","",'M Q'!C29)</f>
        <v/>
      </c>
      <c r="E31" s="183" t="str">
        <f>IF(A31="","",'M Q'!S29)</f>
        <v/>
      </c>
      <c r="F31" s="59" t="str">
        <f>IF(A31="","",'M Q'!T29)</f>
        <v/>
      </c>
      <c r="G31" s="45"/>
      <c r="H31" s="18"/>
      <c r="M31" s="104"/>
      <c r="N31" s="105"/>
      <c r="O31" s="105"/>
      <c r="P31" s="105"/>
    </row>
    <row r="32" spans="1:16" s="100" customFormat="1" ht="26.1" customHeight="1" x14ac:dyDescent="0.2">
      <c r="A32" s="50" t="str">
        <f>IF(INFO!B8&gt;25,26,"")</f>
        <v/>
      </c>
      <c r="B32" s="24" t="str">
        <f>IF(A32="","",'M Q'!B30)</f>
        <v/>
      </c>
      <c r="C32" s="24"/>
      <c r="D32" s="58" t="str">
        <f>IF(A32="","",'M Q'!C30)</f>
        <v/>
      </c>
      <c r="E32" s="183" t="str">
        <f>IF(A32="","",'M Q'!S30)</f>
        <v/>
      </c>
      <c r="F32" s="59" t="str">
        <f>IF(A32="","",'M Q'!T30)</f>
        <v/>
      </c>
      <c r="G32" s="45"/>
      <c r="H32" s="18"/>
      <c r="M32" s="104"/>
      <c r="N32" s="105"/>
      <c r="O32" s="105"/>
      <c r="P32" s="105"/>
    </row>
    <row r="33" spans="1:17" s="100" customFormat="1" ht="26.1" customHeight="1" x14ac:dyDescent="0.2">
      <c r="A33" s="50" t="str">
        <f>IF(INFO!B8&gt;26,27,"")</f>
        <v/>
      </c>
      <c r="B33" s="24" t="str">
        <f>IF(A33="","",'M Q'!B31)</f>
        <v/>
      </c>
      <c r="C33" s="24"/>
      <c r="D33" s="58" t="str">
        <f>IF(A33="","",'M Q'!C31)</f>
        <v/>
      </c>
      <c r="E33" s="183" t="str">
        <f>IF(A33="","",'M Q'!S31)</f>
        <v/>
      </c>
      <c r="F33" s="59" t="str">
        <f>IF(A33="","",'M Q'!T31)</f>
        <v/>
      </c>
      <c r="G33" s="45"/>
      <c r="H33" s="18"/>
      <c r="M33" s="104"/>
      <c r="N33" s="105"/>
      <c r="O33" s="105"/>
      <c r="P33" s="105"/>
    </row>
    <row r="34" spans="1:17" s="100" customFormat="1" ht="26.1" customHeight="1" x14ac:dyDescent="0.2">
      <c r="A34" s="50" t="str">
        <f>IF(INFO!B8&gt;27,28,"")</f>
        <v/>
      </c>
      <c r="B34" s="24" t="str">
        <f>IF(A34="","",'M Q'!B32)</f>
        <v/>
      </c>
      <c r="C34" s="24"/>
      <c r="D34" s="58" t="str">
        <f>IF(A34="","",'M Q'!C32)</f>
        <v/>
      </c>
      <c r="E34" s="183" t="str">
        <f>IF(A34="","",'M Q'!S32)</f>
        <v/>
      </c>
      <c r="F34" s="59" t="str">
        <f>IF(A34="","",'M Q'!T32)</f>
        <v/>
      </c>
      <c r="G34" s="45"/>
      <c r="H34" s="18"/>
      <c r="M34" s="104"/>
      <c r="N34" s="105"/>
      <c r="O34" s="105"/>
      <c r="P34" s="105"/>
    </row>
    <row r="35" spans="1:17" s="100" customFormat="1" ht="26.1" customHeight="1" x14ac:dyDescent="0.2">
      <c r="A35" s="50" t="str">
        <f>IF(INFO!B8&gt;28,29,"")</f>
        <v/>
      </c>
      <c r="B35" s="24" t="str">
        <f>IF(A35="","",'M Q'!B33)</f>
        <v/>
      </c>
      <c r="C35" s="24"/>
      <c r="D35" s="58" t="str">
        <f>IF(A35="","",'M Q'!C33)</f>
        <v/>
      </c>
      <c r="E35" s="183" t="str">
        <f>IF(A35="","",'M Q'!S33)</f>
        <v/>
      </c>
      <c r="F35" s="59" t="str">
        <f>IF(A35="","",'M Q'!T33)</f>
        <v/>
      </c>
      <c r="G35" s="45"/>
      <c r="H35" s="18"/>
      <c r="M35" s="104"/>
      <c r="N35" s="105"/>
      <c r="O35" s="105"/>
      <c r="P35" s="105"/>
    </row>
    <row r="36" spans="1:17" s="100" customFormat="1" ht="26.1" customHeight="1" x14ac:dyDescent="0.2">
      <c r="A36" s="50" t="str">
        <f>IF(INFO!B8&gt;29,30,"")</f>
        <v/>
      </c>
      <c r="B36" s="24" t="str">
        <f>IF(A36="","",'M Q'!B34)</f>
        <v/>
      </c>
      <c r="C36" s="24"/>
      <c r="D36" s="58" t="str">
        <f>IF(A36="","",'M Q'!C34)</f>
        <v/>
      </c>
      <c r="E36" s="183" t="str">
        <f>IF(A36="","",'M Q'!S34)</f>
        <v/>
      </c>
      <c r="F36" s="59" t="str">
        <f>IF(A36="","",'M Q'!T34)</f>
        <v/>
      </c>
      <c r="G36" s="45"/>
      <c r="H36" s="18"/>
      <c r="M36" s="104"/>
      <c r="N36" s="105"/>
      <c r="O36" s="105"/>
      <c r="P36" s="105"/>
    </row>
    <row r="37" spans="1:17" s="100" customFormat="1" ht="26.1" customHeight="1" x14ac:dyDescent="0.2">
      <c r="A37" s="50" t="str">
        <f>IF(INFO!B8&gt;30,31,"")</f>
        <v/>
      </c>
      <c r="B37" s="24" t="str">
        <f>IF(A37="","",'M Q'!B35)</f>
        <v/>
      </c>
      <c r="C37" s="24"/>
      <c r="D37" s="58" t="str">
        <f>IF(A37="","",'M Q'!C35)</f>
        <v/>
      </c>
      <c r="E37" s="183" t="str">
        <f>IF(A37="","",'M Q'!S35)</f>
        <v/>
      </c>
      <c r="F37" s="59" t="str">
        <f>IF(A37="","",'M Q'!T35)</f>
        <v/>
      </c>
      <c r="G37" s="45"/>
      <c r="H37" s="18"/>
      <c r="M37" s="104"/>
      <c r="N37" s="105"/>
      <c r="O37" s="105"/>
      <c r="P37" s="105"/>
    </row>
    <row r="38" spans="1:17" s="100" customFormat="1" ht="26.1" customHeight="1" x14ac:dyDescent="0.2">
      <c r="A38" s="50" t="str">
        <f>IF(INFO!B8&gt;31,32,"")</f>
        <v/>
      </c>
      <c r="B38" s="24" t="str">
        <f>IF(A38="","",'M Q'!B36)</f>
        <v/>
      </c>
      <c r="C38" s="24"/>
      <c r="D38" s="58" t="str">
        <f>IF(A38="","",'M Q'!C36)</f>
        <v/>
      </c>
      <c r="E38" s="183" t="str">
        <f>IF(A38="","",'M Q'!S36)</f>
        <v/>
      </c>
      <c r="F38" s="59" t="str">
        <f>IF(A38="","",'M Q'!T36)</f>
        <v/>
      </c>
      <c r="G38" s="45"/>
      <c r="H38" s="18"/>
      <c r="M38" s="104"/>
      <c r="N38" s="105"/>
      <c r="O38" s="105"/>
      <c r="P38" s="105"/>
    </row>
    <row r="39" spans="1:17" s="100" customFormat="1" ht="26.1" customHeight="1" x14ac:dyDescent="0.2">
      <c r="A39" s="50" t="str">
        <f>IF(INFO!B8&gt;32,33,"")</f>
        <v/>
      </c>
      <c r="B39" s="24" t="str">
        <f>IF(A39="","",'M Q'!B37)</f>
        <v/>
      </c>
      <c r="C39" s="24"/>
      <c r="D39" s="58" t="str">
        <f>IF(A39="","",'M Q'!C37)</f>
        <v/>
      </c>
      <c r="E39" s="183" t="str">
        <f>IF(A39="","",'M Q'!S37)</f>
        <v/>
      </c>
      <c r="F39" s="59" t="str">
        <f>IF(A39="","",'M Q'!T37)</f>
        <v/>
      </c>
      <c r="G39" s="45"/>
      <c r="H39" s="18"/>
      <c r="M39" s="104"/>
      <c r="N39" s="105"/>
      <c r="O39" s="105"/>
      <c r="P39" s="105"/>
    </row>
    <row r="40" spans="1:17" s="100" customFormat="1" ht="26.1" customHeight="1" x14ac:dyDescent="0.2">
      <c r="A40" s="50" t="str">
        <f>IF(INFO!B8&gt;33,34,"")</f>
        <v/>
      </c>
      <c r="B40" s="24" t="str">
        <f>IF(A40="","",'M Q'!B38)</f>
        <v/>
      </c>
      <c r="C40" s="24"/>
      <c r="D40" s="58" t="str">
        <f>IF(A40="","",'M Q'!C38)</f>
        <v/>
      </c>
      <c r="E40" s="183" t="str">
        <f>IF(A40="","",'M Q'!S38)</f>
        <v/>
      </c>
      <c r="F40" s="59" t="str">
        <f>IF(A40="","",'M Q'!T38)</f>
        <v/>
      </c>
      <c r="G40" s="45"/>
      <c r="H40" s="18"/>
      <c r="M40" s="104"/>
      <c r="N40" s="105"/>
      <c r="O40" s="105"/>
      <c r="P40" s="105"/>
    </row>
    <row r="41" spans="1:17" s="100" customFormat="1" ht="26.1" customHeight="1" x14ac:dyDescent="0.2">
      <c r="A41" s="50" t="str">
        <f>IF(INFO!B8&gt;34,35,"")</f>
        <v/>
      </c>
      <c r="B41" s="24" t="str">
        <f>IF(A41="","",'M Q'!B39)</f>
        <v/>
      </c>
      <c r="C41" s="24"/>
      <c r="D41" s="58" t="str">
        <f>IF(A41="","",'M Q'!C39)</f>
        <v/>
      </c>
      <c r="E41" s="183" t="str">
        <f>IF(A41="","",'M Q'!S39)</f>
        <v/>
      </c>
      <c r="F41" s="59" t="str">
        <f>IF(A41="","",'M Q'!T39)</f>
        <v/>
      </c>
      <c r="G41" s="45"/>
      <c r="H41" s="18"/>
      <c r="M41" s="104"/>
      <c r="N41" s="105"/>
      <c r="O41" s="105"/>
      <c r="P41" s="105"/>
    </row>
    <row r="42" spans="1:17" s="100" customFormat="1" ht="26.1" customHeight="1" x14ac:dyDescent="0.2">
      <c r="A42" s="50" t="str">
        <f>IF(INFO!B8&gt;35,36,"")</f>
        <v/>
      </c>
      <c r="B42" s="24" t="str">
        <f>IF(A42="","",'M Q'!B40)</f>
        <v/>
      </c>
      <c r="C42" s="24"/>
      <c r="D42" s="58" t="str">
        <f>IF(A42="","",'M Q'!C40)</f>
        <v/>
      </c>
      <c r="E42" s="183" t="str">
        <f>IF(A42="","",'M Q'!S40)</f>
        <v/>
      </c>
      <c r="F42" s="59" t="str">
        <f>IF(A42="","",'M Q'!T40)</f>
        <v/>
      </c>
      <c r="G42" s="45"/>
      <c r="H42" s="18"/>
      <c r="M42" s="104"/>
      <c r="N42" s="105"/>
      <c r="O42" s="105"/>
      <c r="P42" s="105"/>
    </row>
    <row r="43" spans="1:17" s="100" customFormat="1" ht="26.1" customHeight="1" x14ac:dyDescent="0.2">
      <c r="A43" s="50" t="str">
        <f>IF(INFO!B8&gt;36,37,"")</f>
        <v/>
      </c>
      <c r="B43" s="24" t="str">
        <f>IF(A43="","",'M Q'!B41)</f>
        <v/>
      </c>
      <c r="C43" s="24"/>
      <c r="D43" s="58" t="str">
        <f>IF(A43="","",'M Q'!C41)</f>
        <v/>
      </c>
      <c r="E43" s="183" t="str">
        <f>IF(A43="","",'M Q'!S41)</f>
        <v/>
      </c>
      <c r="F43" s="59" t="str">
        <f>IF(A43="","",'M Q'!T41)</f>
        <v/>
      </c>
      <c r="G43" s="45"/>
      <c r="H43" s="18"/>
      <c r="M43" s="104"/>
      <c r="N43" s="105"/>
      <c r="O43" s="105"/>
      <c r="P43" s="105"/>
    </row>
    <row r="44" spans="1:17" s="100" customFormat="1" ht="26.1" customHeight="1" x14ac:dyDescent="0.2">
      <c r="A44" s="50" t="str">
        <f>IF(INFO!B8&gt;37,38,"")</f>
        <v/>
      </c>
      <c r="B44" s="24" t="str">
        <f>IF(A44="","",'M Q'!B42)</f>
        <v/>
      </c>
      <c r="C44" s="24"/>
      <c r="D44" s="58" t="str">
        <f>IF(A44="","",'M Q'!C42)</f>
        <v/>
      </c>
      <c r="E44" s="183" t="str">
        <f>IF(A44="","",'M Q'!S42)</f>
        <v/>
      </c>
      <c r="F44" s="59" t="str">
        <f>IF(A44="","",'M Q'!T42)</f>
        <v/>
      </c>
      <c r="G44" s="45"/>
      <c r="H44" s="18"/>
      <c r="M44" s="104"/>
      <c r="N44" s="105"/>
      <c r="O44" s="105"/>
      <c r="P44" s="105"/>
    </row>
    <row r="45" spans="1:17" s="100" customFormat="1" ht="26.1" customHeight="1" x14ac:dyDescent="0.2">
      <c r="A45" s="50" t="str">
        <f>IF(INFO!B8&gt;38,39,"")</f>
        <v/>
      </c>
      <c r="B45" s="24" t="str">
        <f>IF(A45="","",'M Q'!B43)</f>
        <v/>
      </c>
      <c r="C45" s="24"/>
      <c r="D45" s="58" t="str">
        <f>IF(A45="","",'M Q'!C43)</f>
        <v/>
      </c>
      <c r="E45" s="183" t="str">
        <f>IF(A45="","",'M Q'!S43)</f>
        <v/>
      </c>
      <c r="F45" s="59" t="str">
        <f>IF(A45="","",'M Q'!T43)</f>
        <v/>
      </c>
      <c r="G45" s="45"/>
      <c r="H45" s="18"/>
      <c r="M45" s="104"/>
      <c r="N45" s="105"/>
      <c r="O45" s="105"/>
      <c r="P45" s="105"/>
    </row>
    <row r="46" spans="1:17" s="100" customFormat="1" ht="26.1" customHeight="1" x14ac:dyDescent="0.2">
      <c r="A46" s="50" t="str">
        <f>IF(INFO!B8&gt;39,40,"")</f>
        <v/>
      </c>
      <c r="B46" s="24" t="str">
        <f>IF(A46="","",'M Q'!B44)</f>
        <v/>
      </c>
      <c r="C46" s="24"/>
      <c r="D46" s="58" t="str">
        <f>IF(A46="","",'M Q'!C44)</f>
        <v/>
      </c>
      <c r="E46" s="183" t="str">
        <f>IF(A46="","",'M Q'!S44)</f>
        <v/>
      </c>
      <c r="F46" s="59" t="str">
        <f>IF(A46="","",'M Q'!T44)</f>
        <v/>
      </c>
      <c r="G46" s="45"/>
      <c r="H46" s="18"/>
      <c r="M46" s="104"/>
      <c r="N46" s="105"/>
      <c r="O46" s="105"/>
      <c r="P46" s="105"/>
    </row>
    <row r="47" spans="1:17" s="100" customFormat="1" ht="30" customHeight="1" x14ac:dyDescent="0.2">
      <c r="N47" s="104"/>
      <c r="O47" s="104"/>
      <c r="P47" s="104"/>
      <c r="Q47" s="104"/>
    </row>
    <row r="48" spans="1:17" s="100" customFormat="1" ht="30" customHeight="1" x14ac:dyDescent="0.2">
      <c r="N48" s="104"/>
      <c r="O48" s="104"/>
      <c r="P48" s="104"/>
      <c r="Q48" s="104"/>
    </row>
    <row r="49" spans="12:17" s="100" customFormat="1" ht="30" customHeight="1" x14ac:dyDescent="0.2">
      <c r="N49" s="104"/>
      <c r="O49" s="104"/>
      <c r="P49" s="104"/>
      <c r="Q49" s="104"/>
    </row>
    <row r="50" spans="12:17" s="100" customFormat="1" ht="30" customHeight="1" x14ac:dyDescent="0.2">
      <c r="N50" s="104"/>
      <c r="O50" s="104"/>
      <c r="P50" s="104"/>
      <c r="Q50" s="104"/>
    </row>
    <row r="51" spans="12:17" s="100" customFormat="1" ht="30" customHeight="1" x14ac:dyDescent="0.2">
      <c r="N51" s="104"/>
      <c r="O51" s="104"/>
      <c r="P51" s="104"/>
      <c r="Q51" s="104"/>
    </row>
    <row r="52" spans="12:17" s="100" customFormat="1" ht="30" customHeight="1" x14ac:dyDescent="0.2">
      <c r="N52" s="104"/>
      <c r="O52" s="104"/>
      <c r="P52" s="104"/>
      <c r="Q52" s="104"/>
    </row>
    <row r="53" spans="12:17" s="100" customFormat="1" ht="30" customHeight="1" x14ac:dyDescent="0.2">
      <c r="N53" s="104"/>
      <c r="O53" s="104"/>
      <c r="P53" s="104"/>
      <c r="Q53" s="104"/>
    </row>
    <row r="54" spans="12:17" s="100" customFormat="1" ht="30" customHeight="1" x14ac:dyDescent="0.2">
      <c r="N54" s="104"/>
      <c r="O54" s="104"/>
      <c r="P54" s="104"/>
      <c r="Q54" s="104"/>
    </row>
    <row r="55" spans="12:17" s="100" customFormat="1" ht="30" customHeight="1" x14ac:dyDescent="0.2">
      <c r="N55" s="104"/>
      <c r="O55" s="104"/>
      <c r="P55" s="104"/>
      <c r="Q55" s="104"/>
    </row>
    <row r="56" spans="12:17" s="100" customFormat="1" ht="30" customHeight="1" x14ac:dyDescent="0.2">
      <c r="N56" s="104"/>
      <c r="O56" s="104"/>
      <c r="P56" s="104"/>
      <c r="Q56" s="104"/>
    </row>
    <row r="57" spans="12:17" s="101" customFormat="1" ht="30" customHeight="1" x14ac:dyDescent="0.2">
      <c r="L57" s="100"/>
      <c r="M57" s="100"/>
      <c r="N57" s="104"/>
      <c r="O57" s="104"/>
      <c r="P57" s="104"/>
      <c r="Q57" s="104"/>
    </row>
    <row r="58" spans="12:17" s="101" customFormat="1" ht="30" customHeight="1" x14ac:dyDescent="0.2">
      <c r="L58" s="100"/>
      <c r="M58" s="100"/>
      <c r="N58" s="104"/>
      <c r="O58" s="104"/>
      <c r="P58" s="104"/>
      <c r="Q58" s="104"/>
    </row>
    <row r="59" spans="12:17" s="101" customFormat="1" ht="30" customHeight="1" x14ac:dyDescent="0.2">
      <c r="L59" s="100"/>
      <c r="M59" s="100"/>
      <c r="N59" s="104"/>
      <c r="O59" s="104"/>
      <c r="P59" s="104"/>
      <c r="Q59" s="104"/>
    </row>
    <row r="60" spans="12:17" s="101" customFormat="1" ht="30" customHeight="1" x14ac:dyDescent="0.2">
      <c r="L60" s="100"/>
      <c r="M60" s="100"/>
      <c r="N60" s="104"/>
      <c r="O60" s="104"/>
      <c r="P60" s="104"/>
      <c r="Q60" s="104"/>
    </row>
    <row r="61" spans="12:17" s="101" customFormat="1" ht="30" customHeight="1" x14ac:dyDescent="0.2">
      <c r="L61" s="100"/>
      <c r="M61" s="100"/>
      <c r="N61" s="104"/>
      <c r="O61" s="104"/>
      <c r="P61" s="104"/>
      <c r="Q61" s="104"/>
    </row>
    <row r="62" spans="12:17" s="101" customFormat="1" ht="30" customHeight="1" x14ac:dyDescent="0.2">
      <c r="L62" s="100"/>
      <c r="M62" s="100"/>
      <c r="N62" s="104"/>
      <c r="O62" s="104"/>
      <c r="P62" s="104"/>
      <c r="Q62" s="104"/>
    </row>
    <row r="63" spans="12:17" s="101" customFormat="1" ht="30" customHeight="1" x14ac:dyDescent="0.2">
      <c r="L63" s="100"/>
      <c r="M63" s="100"/>
      <c r="N63" s="104"/>
      <c r="O63" s="104"/>
      <c r="P63" s="104"/>
      <c r="Q63" s="104"/>
    </row>
    <row r="64" spans="12:17" s="101" customFormat="1" ht="30" customHeight="1" x14ac:dyDescent="0.2">
      <c r="L64" s="100"/>
      <c r="M64" s="100"/>
      <c r="N64" s="104"/>
      <c r="O64" s="104"/>
      <c r="P64" s="104"/>
      <c r="Q64" s="104"/>
    </row>
    <row r="65" spans="12:17" s="101" customFormat="1" ht="30" customHeight="1" x14ac:dyDescent="0.2">
      <c r="L65" s="100"/>
      <c r="M65" s="100"/>
      <c r="N65" s="104"/>
      <c r="O65" s="104"/>
      <c r="P65" s="104"/>
      <c r="Q65" s="104"/>
    </row>
    <row r="66" spans="12:17" s="101" customFormat="1" ht="30" customHeight="1" x14ac:dyDescent="0.2"/>
    <row r="67" spans="12:17" s="101" customFormat="1" ht="30" customHeight="1" x14ac:dyDescent="0.2"/>
    <row r="68" spans="12:17" s="101" customFormat="1" ht="30" customHeight="1" x14ac:dyDescent="0.2"/>
    <row r="69" spans="12:17" s="101" customFormat="1" ht="30" customHeight="1" x14ac:dyDescent="0.2"/>
    <row r="70" spans="12:17" s="101" customFormat="1" ht="30" customHeight="1" x14ac:dyDescent="0.2"/>
    <row r="71" spans="12:17" s="101" customFormat="1" ht="30" customHeight="1" x14ac:dyDescent="0.2"/>
    <row r="72" spans="12:17" s="101" customFormat="1" ht="30" customHeight="1" x14ac:dyDescent="0.2"/>
    <row r="73" spans="12:17" s="101" customFormat="1" ht="30" customHeight="1" x14ac:dyDescent="0.2"/>
    <row r="74" spans="12:17" s="101" customFormat="1" ht="30" customHeight="1" x14ac:dyDescent="0.2"/>
    <row r="75" spans="12:17" s="101" customFormat="1" ht="30" customHeight="1" x14ac:dyDescent="0.2"/>
    <row r="76" spans="12:17" s="101" customFormat="1" ht="30" customHeight="1" x14ac:dyDescent="0.2"/>
    <row r="77" spans="12:17" s="101" customFormat="1" ht="30" customHeight="1" x14ac:dyDescent="0.2"/>
    <row r="78" spans="12:17" s="101" customFormat="1" ht="30" customHeight="1" x14ac:dyDescent="0.2"/>
    <row r="79" spans="12:17" s="101" customFormat="1" ht="30" customHeight="1" x14ac:dyDescent="0.2"/>
    <row r="80" spans="12:17" s="101" customFormat="1" ht="30" customHeight="1" x14ac:dyDescent="0.2"/>
    <row r="81" s="101" customFormat="1" ht="30" customHeight="1" x14ac:dyDescent="0.2"/>
    <row r="82" s="101" customFormat="1" ht="30" customHeight="1" x14ac:dyDescent="0.2"/>
    <row r="83" s="101" customFormat="1" ht="30" customHeight="1" x14ac:dyDescent="0.2"/>
    <row r="84" s="101" customFormat="1" ht="30" customHeight="1" x14ac:dyDescent="0.2"/>
    <row r="85" s="101" customFormat="1" ht="30" customHeight="1" x14ac:dyDescent="0.2"/>
    <row r="86" s="101" customFormat="1" ht="30" customHeight="1" x14ac:dyDescent="0.2"/>
    <row r="87" s="101" customFormat="1" ht="30" customHeight="1" x14ac:dyDescent="0.2"/>
    <row r="88" s="101" customFormat="1" ht="30" customHeight="1" x14ac:dyDescent="0.2"/>
    <row r="89" s="101" customFormat="1" ht="30" customHeight="1" x14ac:dyDescent="0.2"/>
    <row r="90" s="101" customFormat="1" ht="30" customHeight="1" x14ac:dyDescent="0.2"/>
    <row r="91" s="101" customFormat="1" ht="30" customHeight="1" x14ac:dyDescent="0.2"/>
    <row r="92" s="101" customFormat="1" ht="30" customHeight="1" x14ac:dyDescent="0.2"/>
    <row r="93" s="101" customFormat="1" ht="30" customHeight="1" x14ac:dyDescent="0.2"/>
    <row r="94" s="101" customFormat="1" ht="30" customHeight="1" x14ac:dyDescent="0.2"/>
    <row r="95" s="101" customFormat="1" ht="30" customHeight="1" x14ac:dyDescent="0.2"/>
    <row r="96" s="101" customFormat="1" ht="30" customHeight="1" x14ac:dyDescent="0.2"/>
    <row r="97" s="101" customFormat="1" ht="30" customHeight="1" x14ac:dyDescent="0.2"/>
    <row r="98" s="101" customFormat="1" ht="30" customHeight="1" x14ac:dyDescent="0.2"/>
    <row r="99" s="101" customFormat="1" ht="30" customHeight="1" x14ac:dyDescent="0.2"/>
    <row r="100" s="101" customFormat="1" ht="30" customHeight="1" x14ac:dyDescent="0.2"/>
    <row r="101" s="101" customFormat="1" ht="30" customHeight="1" x14ac:dyDescent="0.2"/>
    <row r="102" s="101" customFormat="1" ht="30" customHeight="1" x14ac:dyDescent="0.2"/>
    <row r="103" s="101" customFormat="1" ht="30" customHeight="1" x14ac:dyDescent="0.2"/>
    <row r="104" s="101" customFormat="1" ht="30" customHeight="1" x14ac:dyDescent="0.2"/>
    <row r="105" s="101" customFormat="1" ht="30" customHeight="1" x14ac:dyDescent="0.2"/>
    <row r="106" s="101" customFormat="1" ht="30" customHeight="1" x14ac:dyDescent="0.2"/>
    <row r="107" s="101" customFormat="1" ht="30" customHeight="1" x14ac:dyDescent="0.2"/>
    <row r="108" s="101" customFormat="1" ht="30" customHeight="1" x14ac:dyDescent="0.2"/>
    <row r="109" s="101" customFormat="1" ht="30" customHeight="1" x14ac:dyDescent="0.2"/>
    <row r="110" s="101" customFormat="1" ht="30" customHeight="1" x14ac:dyDescent="0.2"/>
    <row r="111" s="101" customFormat="1" ht="30" customHeight="1" x14ac:dyDescent="0.2"/>
    <row r="112" s="101" customFormat="1" ht="30" customHeight="1" x14ac:dyDescent="0.2"/>
    <row r="113" s="101" customFormat="1" ht="30" customHeight="1" x14ac:dyDescent="0.2"/>
    <row r="114" s="101" customFormat="1" ht="30" customHeight="1" x14ac:dyDescent="0.2"/>
    <row r="115" s="101" customFormat="1" ht="30" customHeight="1" x14ac:dyDescent="0.2"/>
    <row r="116" s="101" customFormat="1" ht="30" customHeight="1" x14ac:dyDescent="0.2"/>
    <row r="117" s="101" customFormat="1" ht="30" customHeight="1" x14ac:dyDescent="0.2"/>
    <row r="118" s="101" customFormat="1" ht="30" customHeight="1" x14ac:dyDescent="0.2"/>
    <row r="119" s="101" customFormat="1" ht="30" customHeight="1" x14ac:dyDescent="0.2"/>
    <row r="120" s="101" customFormat="1" ht="30" customHeight="1" x14ac:dyDescent="0.2"/>
    <row r="121" s="101" customFormat="1" ht="30" customHeight="1" x14ac:dyDescent="0.2"/>
    <row r="122" s="101" customFormat="1" ht="30" customHeight="1" x14ac:dyDescent="0.2"/>
    <row r="123" s="101" customFormat="1" ht="30" customHeight="1" x14ac:dyDescent="0.2"/>
    <row r="124" s="101" customFormat="1" ht="30" customHeight="1" x14ac:dyDescent="0.2"/>
    <row r="125" s="101" customFormat="1" ht="30" customHeight="1" x14ac:dyDescent="0.2"/>
    <row r="126" s="101" customFormat="1" ht="30" customHeight="1" x14ac:dyDescent="0.2"/>
    <row r="127" s="101" customFormat="1" ht="30" customHeight="1" x14ac:dyDescent="0.2"/>
    <row r="128" s="101" customFormat="1" ht="30" customHeight="1" x14ac:dyDescent="0.2"/>
    <row r="129" s="101" customFormat="1" ht="30" customHeight="1" x14ac:dyDescent="0.2"/>
    <row r="130" s="101" customFormat="1" ht="30" customHeight="1" x14ac:dyDescent="0.2"/>
    <row r="131" s="101" customFormat="1" ht="23.25" x14ac:dyDescent="0.2"/>
    <row r="132" s="101" customFormat="1" ht="23.25" x14ac:dyDescent="0.2"/>
    <row r="133" s="101" customFormat="1" ht="23.25" x14ac:dyDescent="0.2"/>
    <row r="134" s="101" customFormat="1" ht="23.25" x14ac:dyDescent="0.2"/>
    <row r="135" s="101" customFormat="1" ht="23.25" x14ac:dyDescent="0.2"/>
    <row r="136" s="101" customFormat="1" ht="23.25" x14ac:dyDescent="0.2"/>
    <row r="137" s="101" customFormat="1" ht="23.25" x14ac:dyDescent="0.2"/>
    <row r="138" s="101" customFormat="1" ht="23.25" x14ac:dyDescent="0.2"/>
    <row r="139" s="101" customFormat="1" ht="23.25" x14ac:dyDescent="0.2"/>
    <row r="140" s="101" customFormat="1" ht="23.25" x14ac:dyDescent="0.2"/>
    <row r="141" s="101" customFormat="1" ht="23.25" x14ac:dyDescent="0.2"/>
    <row r="142" s="101" customFormat="1" ht="23.25" x14ac:dyDescent="0.2"/>
    <row r="143" s="101" customFormat="1" ht="23.25" x14ac:dyDescent="0.2"/>
    <row r="144" s="101" customFormat="1" ht="23.25" x14ac:dyDescent="0.2"/>
    <row r="145" s="101" customFormat="1" ht="23.25" x14ac:dyDescent="0.2"/>
    <row r="146" s="101" customFormat="1" ht="23.25" x14ac:dyDescent="0.2"/>
    <row r="147" s="101" customFormat="1" ht="23.25" x14ac:dyDescent="0.2"/>
    <row r="148" s="101" customFormat="1" ht="23.25" x14ac:dyDescent="0.2"/>
    <row r="149" s="101" customFormat="1" ht="23.25" x14ac:dyDescent="0.2"/>
    <row r="150" s="101" customFormat="1" ht="23.25" x14ac:dyDescent="0.2"/>
    <row r="151" s="101" customFormat="1" ht="23.25" x14ac:dyDescent="0.2"/>
    <row r="152" s="101" customFormat="1" ht="23.25" x14ac:dyDescent="0.2"/>
    <row r="153" s="101" customFormat="1" ht="23.25" x14ac:dyDescent="0.2"/>
    <row r="154" s="101" customFormat="1" ht="23.25" x14ac:dyDescent="0.2"/>
    <row r="155" s="101" customFormat="1" ht="23.25" x14ac:dyDescent="0.2"/>
    <row r="156" s="101" customFormat="1" ht="23.25" x14ac:dyDescent="0.2"/>
    <row r="157" s="101" customFormat="1" ht="23.25" x14ac:dyDescent="0.2"/>
    <row r="158" s="101" customFormat="1" ht="23.25" x14ac:dyDescent="0.2"/>
    <row r="159" s="101" customFormat="1" ht="23.25" x14ac:dyDescent="0.2"/>
  </sheetData>
  <sheetProtection formatColumns="0" selectLockedCells="1"/>
  <mergeCells count="8">
    <mergeCell ref="J23:M23"/>
    <mergeCell ref="A1:H3"/>
    <mergeCell ref="A4:H4"/>
    <mergeCell ref="G11:G14"/>
    <mergeCell ref="G7:G8"/>
    <mergeCell ref="G9:G10"/>
    <mergeCell ref="G15:G22"/>
    <mergeCell ref="J10:M10"/>
  </mergeCells>
  <phoneticPr fontId="2"/>
  <conditionalFormatting sqref="A7:F46 J11:M22">
    <cfRule type="cellIs" dxfId="2" priority="1" operator="equal">
      <formula>0</formula>
    </cfRule>
    <cfRule type="containsErrors" dxfId="1" priority="3">
      <formula>ISERROR(A7)</formula>
    </cfRule>
    <cfRule type="containsBlanks" dxfId="0" priority="4">
      <formula>LEN(TRIM(A7))=0</formula>
    </cfRule>
  </conditionalFormatting>
  <printOptions horizontalCentered="1" verticalCentered="1"/>
  <pageMargins left="0" right="0" top="0" bottom="0" header="0.19685039370078741" footer="0.19685039370078741"/>
  <pageSetup paperSize="9" scale="55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INFO</vt:lpstr>
      <vt:lpstr>saisie</vt:lpstr>
      <vt:lpstr>M Q</vt:lpstr>
      <vt:lpstr>Clb Q</vt:lpstr>
      <vt:lpstr>P.F.</vt:lpstr>
      <vt:lpstr>PALMARES</vt:lpstr>
      <vt:lpstr>'Clb Q'!Zone_d_impression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Yves ROUSSE</cp:lastModifiedBy>
  <cp:lastPrinted>2021-12-11T17:03:37Z</cp:lastPrinted>
  <dcterms:created xsi:type="dcterms:W3CDTF">2004-11-19T11:01:00Z</dcterms:created>
  <dcterms:modified xsi:type="dcterms:W3CDTF">2021-12-15T08:38:19Z</dcterms:modified>
</cp:coreProperties>
</file>